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zw799\dos\PhD\Publications\"/>
    </mc:Choice>
  </mc:AlternateContent>
  <xr:revisionPtr revIDLastSave="0" documentId="13_ncr:1_{1B03E840-9A32-43D0-AAA9-BB474BD80289}" xr6:coauthVersionLast="47" xr6:coauthVersionMax="47" xr10:uidLastSave="{00000000-0000-0000-0000-000000000000}"/>
  <bookViews>
    <workbookView xWindow="28680" yWindow="-120" windowWidth="29040" windowHeight="15840" xr2:uid="{68E30CAE-D7DD-46EA-B077-4AD203456708}"/>
  </bookViews>
  <sheets>
    <sheet name="New Reynold Calc" sheetId="4" r:id="rId1"/>
    <sheet name="Reynolds table" sheetId="3" r:id="rId2"/>
    <sheet name="Old Reynolds Calc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4" l="1"/>
  <c r="N27" i="4"/>
  <c r="O27" i="4"/>
  <c r="P27" i="4"/>
  <c r="Q27" i="4"/>
  <c r="L27" i="4"/>
  <c r="M36" i="4"/>
  <c r="M37" i="4" s="1"/>
  <c r="M38" i="4" s="1"/>
  <c r="N36" i="4"/>
  <c r="N37" i="4" s="1"/>
  <c r="N38" i="4" s="1"/>
  <c r="O36" i="4"/>
  <c r="O37" i="4" s="1"/>
  <c r="O38" i="4" s="1"/>
  <c r="P36" i="4"/>
  <c r="Q36" i="4"/>
  <c r="Q37" i="4" s="1"/>
  <c r="Q38" i="4" s="1"/>
  <c r="L36" i="4"/>
  <c r="L37" i="4" s="1"/>
  <c r="L38" i="4" s="1"/>
  <c r="L28" i="4"/>
  <c r="L29" i="4" s="1"/>
  <c r="H23" i="4"/>
  <c r="L30" i="4"/>
  <c r="L39" i="4"/>
  <c r="M39" i="4"/>
  <c r="N39" i="4"/>
  <c r="O39" i="4"/>
  <c r="P39" i="4"/>
  <c r="Q39" i="4"/>
  <c r="Q30" i="4"/>
  <c r="P30" i="4"/>
  <c r="O30" i="4"/>
  <c r="N30" i="4"/>
  <c r="M30" i="4"/>
  <c r="P37" i="4"/>
  <c r="P38" i="4" s="1"/>
  <c r="G33" i="1" l="1"/>
  <c r="P15" i="4"/>
  <c r="P22" i="4" s="1"/>
  <c r="Q14" i="4"/>
  <c r="P14" i="4"/>
  <c r="O14" i="4"/>
  <c r="N14" i="4"/>
  <c r="M14" i="4"/>
  <c r="L14" i="4"/>
  <c r="H14" i="4"/>
  <c r="Q13" i="4"/>
  <c r="Q19" i="4" s="1"/>
  <c r="P13" i="4"/>
  <c r="P19" i="4" s="1"/>
  <c r="O13" i="4"/>
  <c r="O15" i="4" s="1"/>
  <c r="O22" i="4" s="1"/>
  <c r="N13" i="4"/>
  <c r="M13" i="4"/>
  <c r="M15" i="4" s="1"/>
  <c r="L13" i="4"/>
  <c r="Q12" i="4"/>
  <c r="P12" i="4"/>
  <c r="O12" i="4"/>
  <c r="N12" i="4"/>
  <c r="M12" i="4"/>
  <c r="L12" i="4"/>
  <c r="H12" i="4"/>
  <c r="G39" i="1"/>
  <c r="G29" i="1"/>
  <c r="H31" i="1"/>
  <c r="G31" i="1"/>
  <c r="H29" i="1"/>
  <c r="I29" i="1"/>
  <c r="J29" i="1"/>
  <c r="K29" i="1"/>
  <c r="L29" i="1"/>
  <c r="C58" i="1"/>
  <c r="E63" i="1"/>
  <c r="C63" i="1"/>
  <c r="E62" i="1"/>
  <c r="E61" i="1"/>
  <c r="C77" i="1"/>
  <c r="L73" i="1"/>
  <c r="K73" i="1"/>
  <c r="L69" i="1"/>
  <c r="L76" i="1" s="1"/>
  <c r="K69" i="1"/>
  <c r="K76" i="1" s="1"/>
  <c r="J69" i="1"/>
  <c r="J76" i="1" s="1"/>
  <c r="I69" i="1"/>
  <c r="I76" i="1" s="1"/>
  <c r="L68" i="1"/>
  <c r="K68" i="1"/>
  <c r="J68" i="1"/>
  <c r="I68" i="1"/>
  <c r="H68" i="1"/>
  <c r="G68" i="1"/>
  <c r="C68" i="1"/>
  <c r="L67" i="1"/>
  <c r="K67" i="1"/>
  <c r="J67" i="1"/>
  <c r="J73" i="1" s="1"/>
  <c r="J74" i="1" s="1"/>
  <c r="J78" i="1" s="1"/>
  <c r="I67" i="1"/>
  <c r="I73" i="1" s="1"/>
  <c r="I74" i="1" s="1"/>
  <c r="I78" i="1" s="1"/>
  <c r="H67" i="1"/>
  <c r="H69" i="1" s="1"/>
  <c r="H76" i="1" s="1"/>
  <c r="G67" i="1"/>
  <c r="G73" i="1" s="1"/>
  <c r="G74" i="1" s="1"/>
  <c r="G78" i="1" s="1"/>
  <c r="L74" i="1"/>
  <c r="L78" i="1" s="1"/>
  <c r="K74" i="1"/>
  <c r="K78" i="1" s="1"/>
  <c r="C62" i="1"/>
  <c r="C61" i="1"/>
  <c r="Q15" i="4" l="1"/>
  <c r="L15" i="4"/>
  <c r="L22" i="4" s="1"/>
  <c r="N28" i="4"/>
  <c r="N29" i="4" s="1"/>
  <c r="P28" i="4"/>
  <c r="P29" i="4" s="1"/>
  <c r="O28" i="4"/>
  <c r="O29" i="4" s="1"/>
  <c r="L24" i="4"/>
  <c r="L19" i="4"/>
  <c r="L20" i="4" s="1"/>
  <c r="Q22" i="4"/>
  <c r="M22" i="4"/>
  <c r="M28" i="4"/>
  <c r="M29" i="4" s="1"/>
  <c r="N15" i="4"/>
  <c r="N22" i="4" s="1"/>
  <c r="O24" i="4"/>
  <c r="P20" i="4"/>
  <c r="P24" i="4" s="1"/>
  <c r="Q20" i="4"/>
  <c r="Q24" i="4" s="1"/>
  <c r="Q28" i="4"/>
  <c r="Q29" i="4" s="1"/>
  <c r="M19" i="4"/>
  <c r="M20" i="4" s="1"/>
  <c r="M24" i="4" s="1"/>
  <c r="N19" i="4"/>
  <c r="N20" i="4" s="1"/>
  <c r="N24" i="4" s="1"/>
  <c r="O19" i="4"/>
  <c r="O20" i="4" s="1"/>
  <c r="H73" i="1"/>
  <c r="H74" i="1" s="1"/>
  <c r="H78" i="1" s="1"/>
  <c r="G69" i="1"/>
  <c r="G76" i="1" s="1"/>
  <c r="C55" i="1"/>
  <c r="C32" i="1" l="1"/>
  <c r="L23" i="1"/>
  <c r="K23" i="1"/>
  <c r="J23" i="1"/>
  <c r="I23" i="1"/>
  <c r="H23" i="1"/>
  <c r="G23" i="1"/>
  <c r="C23" i="1"/>
  <c r="L22" i="1"/>
  <c r="L28" i="1" s="1"/>
  <c r="K22" i="1"/>
  <c r="K28" i="1" s="1"/>
  <c r="J22" i="1"/>
  <c r="I22" i="1"/>
  <c r="H22" i="1"/>
  <c r="G22" i="1"/>
  <c r="G28" i="1" s="1"/>
  <c r="L21" i="1"/>
  <c r="K21" i="1"/>
  <c r="J21" i="1"/>
  <c r="I21" i="1"/>
  <c r="H21" i="1"/>
  <c r="G21" i="1"/>
  <c r="C21" i="1"/>
  <c r="L24" i="1" l="1"/>
  <c r="L31" i="1" s="1"/>
  <c r="H24" i="1"/>
  <c r="G24" i="1"/>
  <c r="J24" i="1"/>
  <c r="J31" i="1" s="1"/>
  <c r="I24" i="1"/>
  <c r="I31" i="1" s="1"/>
  <c r="K24" i="1"/>
  <c r="K31" i="1" s="1"/>
  <c r="L33" i="1"/>
  <c r="K33" i="1"/>
  <c r="H28" i="1"/>
  <c r="H33" i="1" s="1"/>
  <c r="I28" i="1"/>
  <c r="I33" i="1" s="1"/>
  <c r="J28" i="1"/>
  <c r="J33" i="1" s="1"/>
</calcChain>
</file>

<file path=xl/sharedStrings.xml><?xml version="1.0" encoding="utf-8"?>
<sst xmlns="http://schemas.openxmlformats.org/spreadsheetml/2006/main" count="243" uniqueCount="89">
  <si>
    <r>
      <t>D</t>
    </r>
    <r>
      <rPr>
        <vertAlign val="subscript"/>
        <sz val="10"/>
        <color rgb="FF202122"/>
        <rFont val="Times New Roman"/>
        <family val="1"/>
      </rPr>
      <t>H</t>
    </r>
  </si>
  <si>
    <t>Q</t>
  </si>
  <si>
    <r>
      <t>A</t>
    </r>
    <r>
      <rPr>
        <sz val="11"/>
        <color rgb="FF202122"/>
        <rFont val="Arial"/>
        <family val="2"/>
      </rPr>
      <t> </t>
    </r>
  </si>
  <si>
    <t>u</t>
  </si>
  <si>
    <r>
      <t>μ</t>
    </r>
    <r>
      <rPr>
        <sz val="11"/>
        <color rgb="FF202122"/>
        <rFont val="Arial"/>
        <family val="2"/>
      </rPr>
      <t> </t>
    </r>
  </si>
  <si>
    <t>ν</t>
  </si>
  <si>
    <r>
      <t>ρ</t>
    </r>
    <r>
      <rPr>
        <sz val="11"/>
        <color rgb="FF202122"/>
        <rFont val="Arial"/>
        <family val="2"/>
      </rPr>
      <t> </t>
    </r>
  </si>
  <si>
    <r>
      <t>W</t>
    </r>
    <r>
      <rPr>
        <sz val="11"/>
        <color rgb="FF202122"/>
        <rFont val="Arial"/>
        <family val="2"/>
      </rPr>
      <t> </t>
    </r>
  </si>
  <si>
    <t>m</t>
  </si>
  <si>
    <t>m2</t>
  </si>
  <si>
    <t>kgm-3</t>
  </si>
  <si>
    <t>Re</t>
  </si>
  <si>
    <t xml:space="preserve">Re </t>
  </si>
  <si>
    <t>Unitless</t>
  </si>
  <si>
    <t>D</t>
  </si>
  <si>
    <t xml:space="preserve">Sc </t>
  </si>
  <si>
    <t>m3 s-1</t>
  </si>
  <si>
    <t xml:space="preserve">m s-1 </t>
  </si>
  <si>
    <t xml:space="preserve">Pe </t>
  </si>
  <si>
    <t xml:space="preserve">Sh </t>
  </si>
  <si>
    <t xml:space="preserve">flow rate </t>
  </si>
  <si>
    <t xml:space="preserve">flow velocity </t>
  </si>
  <si>
    <r>
      <t>Re</t>
    </r>
    <r>
      <rPr>
        <vertAlign val="subscript"/>
        <sz val="11"/>
        <color rgb="FF000000"/>
        <rFont val="Times New Roman"/>
        <family val="1"/>
      </rPr>
      <t>Dh</t>
    </r>
  </si>
  <si>
    <t>Pe</t>
  </si>
  <si>
    <t>Sc</t>
  </si>
  <si>
    <t>Sh</t>
  </si>
  <si>
    <t>(ml/min)</t>
  </si>
  <si>
    <t>(m3/s)</t>
  </si>
  <si>
    <t>(m/s)</t>
  </si>
  <si>
    <t>Diffusion coeff</t>
  </si>
  <si>
    <t>Diffusion coeff from</t>
  </si>
  <si>
    <r>
      <t xml:space="preserve">J. R. Crison, V. P. Shah, J. P. Skelly and G. L. Amidon, </t>
    </r>
    <r>
      <rPr>
        <i/>
        <sz val="11"/>
        <color theme="1"/>
        <rFont val="Calibri"/>
        <family val="2"/>
        <scheme val="minor"/>
      </rPr>
      <t>J Pharm Sci</t>
    </r>
    <r>
      <rPr>
        <sz val="11"/>
        <color theme="1"/>
        <rFont val="Calibri"/>
        <family val="2"/>
        <scheme val="minor"/>
      </rPr>
      <t xml:space="preserve">, 1996, </t>
    </r>
    <r>
      <rPr>
        <b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, 1005-1011.</t>
    </r>
  </si>
  <si>
    <r>
      <t xml:space="preserve">Y. Lu and M. Li, </t>
    </r>
    <r>
      <rPr>
        <i/>
        <sz val="11"/>
        <color theme="1"/>
        <rFont val="Calibri"/>
        <family val="2"/>
        <scheme val="minor"/>
      </rPr>
      <t>J Pharm Sci</t>
    </r>
    <r>
      <rPr>
        <sz val="11"/>
        <color theme="1"/>
        <rFont val="Calibri"/>
        <family val="2"/>
        <scheme val="minor"/>
      </rPr>
      <t xml:space="preserve">, 2016, </t>
    </r>
    <r>
      <rPr>
        <b/>
        <sz val="11"/>
        <color theme="1"/>
        <rFont val="Calibri"/>
        <family val="2"/>
        <scheme val="minor"/>
      </rPr>
      <t>105</t>
    </r>
    <r>
      <rPr>
        <sz val="11"/>
        <color theme="1"/>
        <rFont val="Calibri"/>
        <family val="2"/>
        <scheme val="minor"/>
      </rPr>
      <t>, 131-138.</t>
    </r>
  </si>
  <si>
    <t>Flow rate</t>
  </si>
  <si>
    <t>mL min-1</t>
  </si>
  <si>
    <t>m2 s-1</t>
  </si>
  <si>
    <t>empty cylinder</t>
  </si>
  <si>
    <t>A</t>
  </si>
  <si>
    <r>
      <rPr>
        <sz val="11"/>
        <color theme="1"/>
        <rFont val="Calibri"/>
        <family val="2"/>
      </rPr>
      <t>∏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2</t>
    </r>
  </si>
  <si>
    <t>annular cylinder</t>
  </si>
  <si>
    <r>
      <t>∏(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2</t>
    </r>
    <r>
      <rPr>
        <sz val="9.9"/>
        <color theme="1"/>
        <rFont val="Calibri"/>
        <family val="2"/>
      </rPr>
      <t>-r</t>
    </r>
    <r>
      <rPr>
        <vertAlign val="superscript"/>
        <sz val="9.9"/>
        <color theme="1"/>
        <rFont val="Calibri"/>
        <family val="2"/>
      </rPr>
      <t>2</t>
    </r>
    <r>
      <rPr>
        <sz val="9.9"/>
        <color theme="1"/>
        <rFont val="Calibri"/>
        <family val="2"/>
      </rPr>
      <t>)</t>
    </r>
  </si>
  <si>
    <t>porous cylinder</t>
  </si>
  <si>
    <r>
      <t>∏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2</t>
    </r>
    <r>
      <rPr>
        <sz val="9.9"/>
        <color theme="1"/>
        <rFont val="Calibri"/>
        <family val="2"/>
      </rPr>
      <t>-∏r</t>
    </r>
    <r>
      <rPr>
        <vertAlign val="superscript"/>
        <sz val="9.9"/>
        <color theme="1"/>
        <rFont val="Calibri"/>
        <family val="2"/>
      </rPr>
      <t>2</t>
    </r>
    <r>
      <rPr>
        <sz val="9.9"/>
        <color theme="1"/>
        <rFont val="Calibri"/>
        <family val="2"/>
      </rPr>
      <t>(1-ε)</t>
    </r>
  </si>
  <si>
    <t>V</t>
  </si>
  <si>
    <r>
      <t>4/3</t>
    </r>
    <r>
      <rPr>
        <sz val="11"/>
        <color theme="1"/>
        <rFont val="Calibri"/>
        <family val="2"/>
      </rPr>
      <t>∏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3</t>
    </r>
  </si>
  <si>
    <r>
      <t>4/3</t>
    </r>
    <r>
      <rPr>
        <sz val="11"/>
        <color theme="1"/>
        <rFont val="Calibri"/>
        <family val="2"/>
      </rPr>
      <t>∏(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-r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)</t>
    </r>
  </si>
  <si>
    <r>
      <t>ε</t>
    </r>
    <r>
      <rPr>
        <sz val="9.9"/>
        <color theme="1"/>
        <rFont val="Calibri"/>
        <family val="2"/>
      </rPr>
      <t>= volumetric porosity</t>
    </r>
  </si>
  <si>
    <r>
      <t>4/3</t>
    </r>
    <r>
      <rPr>
        <sz val="11"/>
        <color theme="1"/>
        <rFont val="Calibri"/>
        <family val="2"/>
      </rPr>
      <t>∏</t>
    </r>
    <r>
      <rPr>
        <sz val="9.9"/>
        <color theme="1"/>
        <rFont val="Calibri"/>
        <family val="2"/>
      </rPr>
      <t>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-4/3∏r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(1-ε)</t>
    </r>
    <r>
      <rPr>
        <sz val="11"/>
        <color theme="1"/>
        <rFont val="Calibri"/>
        <family val="2"/>
        <scheme val="minor"/>
      </rPr>
      <t>=4/3</t>
    </r>
    <r>
      <rPr>
        <sz val="11"/>
        <color theme="1"/>
        <rFont val="Calibri"/>
        <family val="2"/>
      </rPr>
      <t>∏</t>
    </r>
    <r>
      <rPr>
        <sz val="9.9"/>
        <color theme="1"/>
        <rFont val="Calibri"/>
        <family val="2"/>
      </rPr>
      <t>[R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-r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(1-ε</t>
    </r>
    <r>
      <rPr>
        <sz val="11"/>
        <color theme="1"/>
        <rFont val="Calibri"/>
        <family val="2"/>
        <scheme val="minor"/>
      </rPr>
      <t>)]</t>
    </r>
  </si>
  <si>
    <t>2R</t>
  </si>
  <si>
    <t>4∏(R2-r2)/2∏(R+r)</t>
  </si>
  <si>
    <t>ε= empty volume/4/3∏R3</t>
  </si>
  <si>
    <t>4∏[R2-r2(1-ε)]/2∏[R+r(1-ε)]</t>
  </si>
  <si>
    <t>volume occupied by the foam = 4/3∏R3 - empty volume</t>
  </si>
  <si>
    <r>
      <t>volume occupied by the foam = 4/3∏r3 -  4/3∏r3*</t>
    </r>
    <r>
      <rPr>
        <sz val="11"/>
        <color theme="1"/>
        <rFont val="Calibri"/>
        <family val="2"/>
      </rPr>
      <t>ε</t>
    </r>
    <r>
      <rPr>
        <sz val="9.9"/>
        <color theme="1"/>
        <rFont val="Calibri"/>
        <family val="2"/>
      </rPr>
      <t xml:space="preserve"> = 4/3∏r</t>
    </r>
    <r>
      <rPr>
        <vertAlign val="superscript"/>
        <sz val="9.9"/>
        <color theme="1"/>
        <rFont val="Calibri"/>
        <family val="2"/>
      </rPr>
      <t>3</t>
    </r>
    <r>
      <rPr>
        <sz val="9.9"/>
        <color theme="1"/>
        <rFont val="Calibri"/>
        <family val="2"/>
      </rPr>
      <t>(1-ε)</t>
    </r>
  </si>
  <si>
    <t>tube</t>
  </si>
  <si>
    <t>R</t>
  </si>
  <si>
    <t>foam</t>
  </si>
  <si>
    <t>r</t>
  </si>
  <si>
    <t>porosity correction</t>
  </si>
  <si>
    <r>
      <t>(1-</t>
    </r>
    <r>
      <rPr>
        <sz val="11"/>
        <color theme="1"/>
        <rFont val="Calibri"/>
        <family val="2"/>
      </rPr>
      <t>ε</t>
    </r>
    <r>
      <rPr>
        <sz val="11"/>
        <color theme="1"/>
        <rFont val="Calibri"/>
        <family val="2"/>
        <scheme val="minor"/>
      </rPr>
      <t>)</t>
    </r>
  </si>
  <si>
    <t>Empty cylinder</t>
  </si>
  <si>
    <t>Porous cylinder</t>
  </si>
  <si>
    <t>Vint</t>
  </si>
  <si>
    <t>Dp 10 mM</t>
  </si>
  <si>
    <t xml:space="preserve">ReD 10 mM </t>
  </si>
  <si>
    <t>Sh ReD 10 mM</t>
  </si>
  <si>
    <t>Dp 5 mM</t>
  </si>
  <si>
    <t xml:space="preserve">ReD 5 mM </t>
  </si>
  <si>
    <t>Sh ReD 5 mM</t>
  </si>
  <si>
    <t>Pe ReD</t>
  </si>
  <si>
    <r>
      <t>Re</t>
    </r>
    <r>
      <rPr>
        <vertAlign val="subscript"/>
        <sz val="9"/>
        <color rgb="FF000000"/>
        <rFont val="Calibri"/>
        <family val="2"/>
        <scheme val="minor"/>
      </rPr>
      <t>Dh</t>
    </r>
  </si>
  <si>
    <r>
      <t>(mL min</t>
    </r>
    <r>
      <rPr>
        <vertAlign val="superscript"/>
        <sz val="9"/>
        <color rgb="FF000000"/>
        <rFont val="Calibri"/>
        <family val="2"/>
        <scheme val="minor"/>
      </rPr>
      <t>-1</t>
    </r>
    <r>
      <rPr>
        <sz val="9"/>
        <color rgb="FF000000"/>
        <rFont val="Calibri"/>
        <family val="2"/>
        <scheme val="minor"/>
      </rPr>
      <t>)</t>
    </r>
  </si>
  <si>
    <r>
      <t>(m</t>
    </r>
    <r>
      <rPr>
        <vertAlign val="superscript"/>
        <sz val="9"/>
        <color rgb="FF000000"/>
        <rFont val="Calibri"/>
        <family val="2"/>
        <scheme val="minor"/>
      </rPr>
      <t>3</t>
    </r>
    <r>
      <rPr>
        <sz val="9"/>
        <color rgb="FF000000"/>
        <rFont val="Calibri"/>
        <family val="2"/>
        <scheme val="minor"/>
      </rPr>
      <t xml:space="preserve"> s</t>
    </r>
    <r>
      <rPr>
        <vertAlign val="superscript"/>
        <sz val="9"/>
        <color rgb="FF000000"/>
        <rFont val="Calibri"/>
        <family val="2"/>
        <scheme val="minor"/>
      </rPr>
      <t>-1</t>
    </r>
    <r>
      <rPr>
        <sz val="9"/>
        <color rgb="FF000000"/>
        <rFont val="Calibri"/>
        <family val="2"/>
        <scheme val="minor"/>
      </rPr>
      <t>)</t>
    </r>
  </si>
  <si>
    <r>
      <t>(m s</t>
    </r>
    <r>
      <rPr>
        <vertAlign val="superscript"/>
        <sz val="9"/>
        <color rgb="FF000000"/>
        <rFont val="Calibri"/>
        <family val="2"/>
        <scheme val="minor"/>
      </rPr>
      <t>-1</t>
    </r>
    <r>
      <rPr>
        <sz val="9"/>
        <color rgb="FF000000"/>
        <rFont val="Calibri"/>
        <family val="2"/>
        <scheme val="minor"/>
      </rPr>
      <t>)</t>
    </r>
  </si>
  <si>
    <r>
      <t>1.67×10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</si>
  <si>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4.39×10</t>
    </r>
    <r>
      <rPr>
        <vertAlign val="superscript"/>
        <sz val="9"/>
        <color rgb="FF000000"/>
        <rFont val="Calibri"/>
        <family val="2"/>
        <scheme val="minor"/>
      </rPr>
      <t>-3</t>
    </r>
  </si>
  <si>
    <r>
      <t>3.33×10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</si>
  <si>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8.77×10</t>
    </r>
    <r>
      <rPr>
        <vertAlign val="superscript"/>
        <sz val="9"/>
        <color rgb="FF000000"/>
        <rFont val="Calibri"/>
        <family val="2"/>
        <scheme val="minor"/>
      </rPr>
      <t>-3</t>
    </r>
  </si>
  <si>
    <r>
      <t>4.17×10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</si>
  <si>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1.10×10</t>
    </r>
    <r>
      <rPr>
        <vertAlign val="superscript"/>
        <sz val="9"/>
        <color rgb="FF000000"/>
        <rFont val="Calibri"/>
        <family val="2"/>
        <scheme val="minor"/>
      </rPr>
      <t>-2</t>
    </r>
  </si>
  <si>
    <r>
      <t>1.75×10</t>
    </r>
    <r>
      <rPr>
        <vertAlign val="superscript"/>
        <sz val="9"/>
        <color rgb="FF000000"/>
        <rFont val="Calibri"/>
        <family val="2"/>
        <scheme val="minor"/>
      </rPr>
      <t>3</t>
    </r>
  </si>
  <si>
    <r>
      <t>5.00×10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</si>
  <si>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1.32×10</t>
    </r>
    <r>
      <rPr>
        <vertAlign val="superscript"/>
        <sz val="9"/>
        <color rgb="FF000000"/>
        <rFont val="Calibri"/>
        <family val="2"/>
        <scheme val="minor"/>
      </rPr>
      <t>-2</t>
    </r>
  </si>
  <si>
    <r>
      <t>6.67×10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</si>
  <si>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1.75×10</t>
    </r>
    <r>
      <rPr>
        <vertAlign val="superscript"/>
        <sz val="9"/>
        <color rgb="FF000000"/>
        <rFont val="Calibri"/>
        <family val="2"/>
        <scheme val="minor"/>
      </rPr>
      <t>-2</t>
    </r>
  </si>
  <si>
    <r>
      <t>8.33×10</t>
    </r>
    <r>
      <rPr>
        <vertAlign val="superscript"/>
        <sz val="9"/>
        <color rgb="FF000000"/>
        <rFont val="Calibri"/>
        <family val="2"/>
        <scheme val="minor"/>
      </rPr>
      <t>-6</t>
    </r>
  </si>
  <si>
    <r>
      <t>2.19×10</t>
    </r>
    <r>
      <rPr>
        <vertAlign val="superscript"/>
        <sz val="9"/>
        <color rgb="FF000000"/>
        <rFont val="Calibri"/>
        <family val="2"/>
        <scheme val="minor"/>
      </rPr>
      <t>-2</t>
    </r>
  </si>
  <si>
    <t>5 mM CTAB</t>
  </si>
  <si>
    <t>10 mM CTAB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</si>
</sst>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00E+00"/>
    <numFmt numFmtId="167" formatCode="0.000000"/>
    <numFmt numFmtId="168" formatCode="0.00000"/>
  </numFmts>
  <fonts count="16" x14ac:knownFonts="1">
    <font>
      <sz val="11"/>
      <color theme="1"/>
      <name val="Calibri"/>
      <family val="2"/>
      <scheme val="minor"/>
    </font>
    <font>
      <i/>
      <sz val="12"/>
      <color rgb="FF202122"/>
      <name val="Times New Roman"/>
      <family val="1"/>
    </font>
    <font>
      <vertAlign val="subscript"/>
      <sz val="10"/>
      <color rgb="FF202122"/>
      <name val="Times New Roman"/>
      <family val="1"/>
    </font>
    <font>
      <sz val="11"/>
      <color rgb="FF202122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bscript"/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vertAlign val="superscript"/>
      <sz val="9.9"/>
      <color theme="1"/>
      <name val="Calibri"/>
      <family val="2"/>
    </font>
    <font>
      <sz val="9"/>
      <color rgb="FF000000"/>
      <name val="Calibri"/>
      <family val="2"/>
      <scheme val="minor"/>
    </font>
    <font>
      <vertAlign val="subscript"/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0" borderId="0" xfId="0" applyFont="1"/>
    <xf numFmtId="11" fontId="0" fillId="0" borderId="0" xfId="0" applyNumberFormat="1"/>
    <xf numFmtId="2" fontId="0" fillId="0" borderId="0" xfId="0" applyNumberFormat="1"/>
    <xf numFmtId="0" fontId="5" fillId="0" borderId="0" xfId="0" applyFont="1" applyAlignment="1">
      <alignment vertical="center"/>
    </xf>
    <xf numFmtId="164" fontId="0" fillId="0" borderId="0" xfId="0" applyNumberFormat="1"/>
    <xf numFmtId="0" fontId="5" fillId="0" borderId="0" xfId="0" applyFont="1" applyAlignment="1">
      <alignment horizontal="right" vertical="center"/>
    </xf>
    <xf numFmtId="16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1" fontId="0" fillId="0" borderId="4" xfId="0" applyNumberFormat="1" applyBorder="1"/>
    <xf numFmtId="11" fontId="0" fillId="0" borderId="5" xfId="0" applyNumberFormat="1" applyBorder="1"/>
    <xf numFmtId="165" fontId="0" fillId="0" borderId="4" xfId="0" applyNumberFormat="1" applyBorder="1"/>
    <xf numFmtId="165" fontId="0" fillId="0" borderId="0" xfId="0" applyNumberFormat="1"/>
    <xf numFmtId="165" fontId="0" fillId="0" borderId="5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0" xfId="0" applyAlignment="1">
      <alignment horizontal="left" vertical="center" indent="5"/>
    </xf>
    <xf numFmtId="0" fontId="5" fillId="0" borderId="0" xfId="0" applyFont="1"/>
    <xf numFmtId="167" fontId="0" fillId="0" borderId="0" xfId="0" applyNumberFormat="1"/>
    <xf numFmtId="168" fontId="0" fillId="0" borderId="0" xfId="0" applyNumberFormat="1"/>
    <xf numFmtId="0" fontId="7" fillId="0" borderId="0" xfId="0" applyFont="1"/>
    <xf numFmtId="0" fontId="9" fillId="0" borderId="0" xfId="0" applyFont="1"/>
    <xf numFmtId="0" fontId="7" fillId="3" borderId="0" xfId="0" applyFont="1" applyFill="1"/>
    <xf numFmtId="0" fontId="0" fillId="3" borderId="0" xfId="0" applyFill="1"/>
    <xf numFmtId="16" fontId="0" fillId="0" borderId="0" xfId="0" applyNumberFormat="1"/>
    <xf numFmtId="0" fontId="1" fillId="0" borderId="0" xfId="0" applyFont="1" applyFill="1"/>
    <xf numFmtId="0" fontId="0" fillId="0" borderId="0" xfId="0" applyFill="1"/>
    <xf numFmtId="0" fontId="5" fillId="0" borderId="0" xfId="0" applyFont="1" applyFill="1"/>
    <xf numFmtId="11" fontId="0" fillId="0" borderId="0" xfId="0" applyNumberFormat="1" applyFill="1"/>
    <xf numFmtId="168" fontId="0" fillId="0" borderId="0" xfId="0" applyNumberFormat="1" applyFill="1"/>
    <xf numFmtId="1" fontId="0" fillId="0" borderId="0" xfId="0" applyNumberFormat="1" applyFill="1"/>
    <xf numFmtId="0" fontId="1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66" fontId="0" fillId="0" borderId="0" xfId="0" applyNumberFormat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180975</xdr:colOff>
      <xdr:row>5</xdr:row>
      <xdr:rowOff>123825</xdr:rowOff>
    </xdr:from>
    <xdr:to>
      <xdr:col>25</xdr:col>
      <xdr:colOff>438150</xdr:colOff>
      <xdr:row>19</xdr:row>
      <xdr:rowOff>179935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609C023-2D53-48C7-A104-9E09B1C67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20525" y="1076325"/>
          <a:ext cx="4524375" cy="2799310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</xdr:colOff>
      <xdr:row>25</xdr:row>
      <xdr:rowOff>123825</xdr:rowOff>
    </xdr:from>
    <xdr:to>
      <xdr:col>20</xdr:col>
      <xdr:colOff>276039</xdr:colOff>
      <xdr:row>28</xdr:row>
      <xdr:rowOff>190418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A3A5EE-C14C-48D7-B9AB-9FDD228EA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49075" y="5019675"/>
          <a:ext cx="1485714" cy="6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180975</xdr:rowOff>
    </xdr:from>
    <xdr:to>
      <xdr:col>6</xdr:col>
      <xdr:colOff>266700</xdr:colOff>
      <xdr:row>15</xdr:row>
      <xdr:rowOff>122785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B31464-4371-4868-B187-E67FF83F3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80975"/>
          <a:ext cx="4524375" cy="2799310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314325</xdr:colOff>
      <xdr:row>0</xdr:row>
      <xdr:rowOff>180975</xdr:rowOff>
    </xdr:from>
    <xdr:to>
      <xdr:col>6</xdr:col>
      <xdr:colOff>266700</xdr:colOff>
      <xdr:row>15</xdr:row>
      <xdr:rowOff>122785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3940F9-CA55-47EE-B7CD-3671661B6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80975"/>
          <a:ext cx="4524375" cy="2799310"/>
        </a:xfrm>
        <a:prstGeom prst="rect">
          <a:avLst/>
        </a:prstGeom>
      </xdr:spPr>
    </xdr:pic>
    <xdr:clientData/>
  </xdr:twoCellAnchor>
  <xdr:twoCellAnchor editAs="oneCell">
    <xdr:from>
      <xdr:col>0</xdr:col>
      <xdr:colOff>314325</xdr:colOff>
      <xdr:row>0</xdr:row>
      <xdr:rowOff>180975</xdr:rowOff>
    </xdr:from>
    <xdr:to>
      <xdr:col>6</xdr:col>
      <xdr:colOff>266700</xdr:colOff>
      <xdr:row>15</xdr:row>
      <xdr:rowOff>122785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3843A84-9D01-4742-8744-9C6238702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80975"/>
          <a:ext cx="4524375" cy="2799310"/>
        </a:xfrm>
        <a:prstGeom prst="rect">
          <a:avLst/>
        </a:prstGeom>
      </xdr:spPr>
    </xdr:pic>
    <xdr:clientData/>
  </xdr:twoCellAnchor>
  <xdr:twoCellAnchor editAs="oneCell">
    <xdr:from>
      <xdr:col>6</xdr:col>
      <xdr:colOff>348876</xdr:colOff>
      <xdr:row>2</xdr:row>
      <xdr:rowOff>6910</xdr:rowOff>
    </xdr:from>
    <xdr:to>
      <xdr:col>13</xdr:col>
      <xdr:colOff>446741</xdr:colOff>
      <xdr:row>15</xdr:row>
      <xdr:rowOff>12585</xdr:rowOff>
    </xdr:to>
    <xdr:pic>
      <xdr:nvPicPr>
        <xdr:cNvPr id="13" name="Picture 4">
          <a:extLst>
            <a:ext uri="{FF2B5EF4-FFF2-40B4-BE49-F238E27FC236}">
              <a16:creationId xmlns:a16="http://schemas.microsoft.com/office/drawing/2014/main" id="{95C9B503-76A3-4EBE-A373-8C64FB332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0876" y="387910"/>
          <a:ext cx="6222440" cy="2482175"/>
        </a:xfrm>
        <a:prstGeom prst="rect">
          <a:avLst/>
        </a:prstGeom>
      </xdr:spPr>
    </xdr:pic>
    <xdr:clientData/>
  </xdr:twoCellAnchor>
  <xdr:twoCellAnchor editAs="oneCell">
    <xdr:from>
      <xdr:col>14</xdr:col>
      <xdr:colOff>209550</xdr:colOff>
      <xdr:row>0</xdr:row>
      <xdr:rowOff>142876</xdr:rowOff>
    </xdr:from>
    <xdr:to>
      <xdr:col>22</xdr:col>
      <xdr:colOff>541032</xdr:colOff>
      <xdr:row>13</xdr:row>
      <xdr:rowOff>48342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E2A2D2F-1E65-4E0B-942A-36CB9BA17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163300" y="142876"/>
          <a:ext cx="5875032" cy="2381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0A50E-697C-4A2D-910B-98FB84E58410}">
  <dimension ref="B10:R46"/>
  <sheetViews>
    <sheetView tabSelected="1" topLeftCell="A13" workbookViewId="0">
      <selection activeCell="W33" sqref="W33"/>
    </sheetView>
  </sheetViews>
  <sheetFormatPr defaultRowHeight="15" x14ac:dyDescent="0.25"/>
  <cols>
    <col min="7" max="7" width="11.5703125" bestFit="1" customWidth="1"/>
    <col min="8" max="8" width="11" bestFit="1" customWidth="1"/>
    <col min="12" max="12" width="9.5703125" bestFit="1" customWidth="1"/>
    <col min="13" max="13" width="12" bestFit="1" customWidth="1"/>
    <col min="14" max="15" width="9.5703125" bestFit="1" customWidth="1"/>
    <col min="16" max="17" width="12" bestFit="1" customWidth="1"/>
  </cols>
  <sheetData>
    <row r="10" spans="7:18" ht="15.75" thickBot="1" x14ac:dyDescent="0.3"/>
    <row r="11" spans="7:18" x14ac:dyDescent="0.25">
      <c r="G11" t="s">
        <v>33</v>
      </c>
      <c r="I11" s="24" t="s">
        <v>34</v>
      </c>
      <c r="L11" s="10">
        <v>100</v>
      </c>
      <c r="M11" s="11">
        <v>200</v>
      </c>
      <c r="N11" s="11">
        <v>250</v>
      </c>
      <c r="O11" s="11">
        <v>300</v>
      </c>
      <c r="P11" s="11">
        <v>400</v>
      </c>
      <c r="Q11" s="12">
        <v>500</v>
      </c>
      <c r="R11" s="24" t="s">
        <v>34</v>
      </c>
    </row>
    <row r="12" spans="7:18" ht="15.75" x14ac:dyDescent="0.25">
      <c r="G12" s="1" t="s">
        <v>0</v>
      </c>
      <c r="H12">
        <f>22/1000</f>
        <v>2.1999999999999999E-2</v>
      </c>
      <c r="I12" s="24" t="s">
        <v>8</v>
      </c>
      <c r="K12" s="1" t="s">
        <v>0</v>
      </c>
      <c r="L12" s="13">
        <f>22/1000</f>
        <v>2.1999999999999999E-2</v>
      </c>
      <c r="M12">
        <f t="shared" ref="M12:Q12" si="0">22/1000</f>
        <v>2.1999999999999999E-2</v>
      </c>
      <c r="N12">
        <f>22/1000</f>
        <v>2.1999999999999999E-2</v>
      </c>
      <c r="O12">
        <f t="shared" si="0"/>
        <v>2.1999999999999999E-2</v>
      </c>
      <c r="P12">
        <f t="shared" si="0"/>
        <v>2.1999999999999999E-2</v>
      </c>
      <c r="Q12" s="14">
        <f t="shared" si="0"/>
        <v>2.1999999999999999E-2</v>
      </c>
      <c r="R12" s="24" t="s">
        <v>8</v>
      </c>
    </row>
    <row r="13" spans="7:18" x14ac:dyDescent="0.25">
      <c r="G13" t="s">
        <v>1</v>
      </c>
      <c r="I13" s="24" t="s">
        <v>16</v>
      </c>
      <c r="K13" t="s">
        <v>1</v>
      </c>
      <c r="L13" s="15">
        <f>((L11/1000)/(1000*60))</f>
        <v>1.6666666666666667E-6</v>
      </c>
      <c r="M13">
        <f t="shared" ref="M13:Q13" si="1">((M11/1000)/(1000*60))</f>
        <v>3.3333333333333333E-6</v>
      </c>
      <c r="N13" s="4">
        <f t="shared" si="1"/>
        <v>4.1666666666666669E-6</v>
      </c>
      <c r="O13">
        <f>((O11/1000)/(1000*60))</f>
        <v>4.9999999999999996E-6</v>
      </c>
      <c r="P13">
        <f t="shared" si="1"/>
        <v>6.6666666666666666E-6</v>
      </c>
      <c r="Q13" s="14">
        <f t="shared" si="1"/>
        <v>8.3333333333333337E-6</v>
      </c>
      <c r="R13" s="24" t="s">
        <v>16</v>
      </c>
    </row>
    <row r="14" spans="7:18" ht="15.75" x14ac:dyDescent="0.25">
      <c r="G14" s="1" t="s">
        <v>2</v>
      </c>
      <c r="H14">
        <f>3.14*(0.011*0.011)</f>
        <v>3.7994E-4</v>
      </c>
      <c r="I14" s="24" t="s">
        <v>9</v>
      </c>
      <c r="K14" s="1" t="s">
        <v>2</v>
      </c>
      <c r="L14" s="15">
        <f>3.14*(0.011*0.011)</f>
        <v>3.7994E-4</v>
      </c>
      <c r="M14" s="4">
        <f t="shared" ref="M14:Q14" si="2">3.14*(0.011*0.011)</f>
        <v>3.7994E-4</v>
      </c>
      <c r="N14" s="4">
        <f>3.14*(0.011*0.011)</f>
        <v>3.7994E-4</v>
      </c>
      <c r="O14" s="4">
        <f t="shared" si="2"/>
        <v>3.7994E-4</v>
      </c>
      <c r="P14" s="4">
        <f t="shared" si="2"/>
        <v>3.7994E-4</v>
      </c>
      <c r="Q14" s="16">
        <f t="shared" si="2"/>
        <v>3.7994E-4</v>
      </c>
      <c r="R14" s="24" t="s">
        <v>9</v>
      </c>
    </row>
    <row r="15" spans="7:18" ht="15.75" x14ac:dyDescent="0.25">
      <c r="G15" s="1" t="s">
        <v>3</v>
      </c>
      <c r="I15" s="24" t="s">
        <v>17</v>
      </c>
      <c r="K15" s="1" t="s">
        <v>3</v>
      </c>
      <c r="L15" s="17">
        <f>L13/L14</f>
        <v>4.3866575424189782E-3</v>
      </c>
      <c r="M15" s="18">
        <f t="shared" ref="M15:Q15" si="3">M13/M14</f>
        <v>8.7733150848379564E-3</v>
      </c>
      <c r="N15" s="18">
        <f t="shared" si="3"/>
        <v>1.0966643856047446E-2</v>
      </c>
      <c r="O15" s="18">
        <f t="shared" si="3"/>
        <v>1.3159972627256935E-2</v>
      </c>
      <c r="P15" s="18">
        <f t="shared" si="3"/>
        <v>1.7546630169675913E-2</v>
      </c>
      <c r="Q15" s="19">
        <f t="shared" si="3"/>
        <v>2.1933287712094893E-2</v>
      </c>
      <c r="R15" s="24" t="s">
        <v>17</v>
      </c>
    </row>
    <row r="16" spans="7:18" ht="15.75" x14ac:dyDescent="0.25">
      <c r="G16" s="32" t="s">
        <v>4</v>
      </c>
      <c r="H16" s="33"/>
      <c r="I16" s="34"/>
      <c r="J16" s="33"/>
      <c r="K16" s="32" t="s">
        <v>4</v>
      </c>
      <c r="L16" s="15">
        <v>1.307E-3</v>
      </c>
      <c r="M16" s="4">
        <v>1.307E-3</v>
      </c>
      <c r="N16" s="4">
        <v>1.307E-3</v>
      </c>
      <c r="O16" s="4">
        <v>1.307E-3</v>
      </c>
      <c r="P16" s="4">
        <v>1.307E-3</v>
      </c>
      <c r="Q16" s="16">
        <v>1.307E-3</v>
      </c>
      <c r="R16" s="24"/>
    </row>
    <row r="17" spans="7:18" ht="15.75" x14ac:dyDescent="0.25">
      <c r="G17" s="1" t="s">
        <v>5</v>
      </c>
      <c r="I17" s="24"/>
      <c r="K17" s="1" t="s">
        <v>5</v>
      </c>
      <c r="L17" s="13"/>
      <c r="Q17" s="14"/>
      <c r="R17" s="24"/>
    </row>
    <row r="18" spans="7:18" ht="15.75" x14ac:dyDescent="0.25">
      <c r="G18" s="1" t="s">
        <v>6</v>
      </c>
      <c r="H18">
        <v>997</v>
      </c>
      <c r="I18" s="24" t="s">
        <v>10</v>
      </c>
      <c r="K18" s="1" t="s">
        <v>6</v>
      </c>
      <c r="L18" s="13">
        <v>997</v>
      </c>
      <c r="M18">
        <v>997</v>
      </c>
      <c r="N18">
        <v>997</v>
      </c>
      <c r="O18">
        <v>997</v>
      </c>
      <c r="P18">
        <v>997</v>
      </c>
      <c r="Q18" s="14">
        <v>997</v>
      </c>
      <c r="R18" s="24" t="s">
        <v>10</v>
      </c>
    </row>
    <row r="19" spans="7:18" ht="15.75" x14ac:dyDescent="0.25">
      <c r="G19" s="1" t="s">
        <v>7</v>
      </c>
      <c r="I19" s="24"/>
      <c r="K19" s="1" t="s">
        <v>7</v>
      </c>
      <c r="L19" s="15">
        <f>L18*L13</f>
        <v>1.6616666666666668E-3</v>
      </c>
      <c r="M19" s="4">
        <f t="shared" ref="M19:Q19" si="4">M18*M13</f>
        <v>3.3233333333333335E-3</v>
      </c>
      <c r="N19" s="4">
        <f t="shared" si="4"/>
        <v>4.1541666666666671E-3</v>
      </c>
      <c r="O19" s="4">
        <f t="shared" si="4"/>
        <v>4.9849999999999998E-3</v>
      </c>
      <c r="P19" s="4">
        <f t="shared" si="4"/>
        <v>6.646666666666667E-3</v>
      </c>
      <c r="Q19" s="16">
        <f t="shared" si="4"/>
        <v>8.3083333333333342E-3</v>
      </c>
      <c r="R19" s="24"/>
    </row>
    <row r="20" spans="7:18" ht="16.5" thickBot="1" x14ac:dyDescent="0.3">
      <c r="G20" s="1" t="s">
        <v>12</v>
      </c>
      <c r="I20" s="24" t="s">
        <v>13</v>
      </c>
      <c r="K20" s="1" t="s">
        <v>11</v>
      </c>
      <c r="L20" s="20">
        <f t="shared" ref="L20:Q20" si="5">(L12*L19)/(L16*L14)/0.95</f>
        <v>77.491198433872569</v>
      </c>
      <c r="M20" s="20">
        <f t="shared" si="5"/>
        <v>154.98239686774514</v>
      </c>
      <c r="N20" s="20">
        <f t="shared" si="5"/>
        <v>193.72799608468142</v>
      </c>
      <c r="O20" s="20">
        <f t="shared" si="5"/>
        <v>232.47359530161765</v>
      </c>
      <c r="P20" s="20">
        <f t="shared" si="5"/>
        <v>309.96479373549028</v>
      </c>
      <c r="Q20" s="20">
        <f t="shared" si="5"/>
        <v>387.45599216936284</v>
      </c>
      <c r="R20" s="24" t="s">
        <v>13</v>
      </c>
    </row>
    <row r="21" spans="7:18" ht="15.75" x14ac:dyDescent="0.25">
      <c r="G21" s="1" t="s">
        <v>14</v>
      </c>
      <c r="H21" s="4">
        <v>7.5E-10</v>
      </c>
      <c r="I21" s="24" t="s">
        <v>35</v>
      </c>
      <c r="L21" s="4">
        <v>7.5E-10</v>
      </c>
      <c r="M21" s="4">
        <v>7.5E-10</v>
      </c>
      <c r="N21" s="4">
        <v>7.5E-10</v>
      </c>
      <c r="O21" s="4">
        <v>7.5E-10</v>
      </c>
      <c r="P21" s="4">
        <v>7.5E-10</v>
      </c>
      <c r="Q21" s="4">
        <v>7.5E-10</v>
      </c>
      <c r="R21" s="24" t="s">
        <v>35</v>
      </c>
    </row>
    <row r="22" spans="7:18" ht="15.75" x14ac:dyDescent="0.25">
      <c r="G22" s="1" t="s">
        <v>18</v>
      </c>
      <c r="L22" s="4">
        <f>(L15*L12)/L21</f>
        <v>128675.28791095669</v>
      </c>
      <c r="M22" s="4">
        <f>(M15*M12)/M21</f>
        <v>257350.57582191337</v>
      </c>
      <c r="N22" s="4">
        <f t="shared" ref="N22:Q22" si="6">(N15*N12)/N21</f>
        <v>321688.21977739176</v>
      </c>
      <c r="O22" s="4">
        <f t="shared" si="6"/>
        <v>386025.86373287009</v>
      </c>
      <c r="P22" s="4">
        <f t="shared" si="6"/>
        <v>514701.15164382674</v>
      </c>
      <c r="Q22" s="4">
        <f t="shared" si="6"/>
        <v>643376.43955478352</v>
      </c>
    </row>
    <row r="23" spans="7:18" x14ac:dyDescent="0.25">
      <c r="G23" t="s">
        <v>15</v>
      </c>
      <c r="H23" s="9">
        <f>(L16)/(H21*L18)</f>
        <v>1747.9103978602475</v>
      </c>
      <c r="I23" s="9"/>
    </row>
    <row r="24" spans="7:18" ht="15.75" x14ac:dyDescent="0.25">
      <c r="G24" s="1" t="s">
        <v>19</v>
      </c>
      <c r="L24" s="5">
        <f>1.029*($H$23^0.33)*(L20^0.55)*((0.02/0.022)^-0.472)</f>
        <v>138.37984968532669</v>
      </c>
      <c r="M24" s="5">
        <f t="shared" ref="M24:Q24" si="7">1.029*($H$23^0.33)*(M20^0.55)*((0.02/0.022)^-0.472)</f>
        <v>202.59995853139253</v>
      </c>
      <c r="N24" s="5">
        <f t="shared" si="7"/>
        <v>229.05504374167526</v>
      </c>
      <c r="O24" s="5">
        <f t="shared" si="7"/>
        <v>253.21506744899517</v>
      </c>
      <c r="P24" s="5">
        <f t="shared" si="7"/>
        <v>296.62370128498873</v>
      </c>
      <c r="Q24" s="5">
        <f t="shared" si="7"/>
        <v>335.35621312638631</v>
      </c>
    </row>
    <row r="25" spans="7:18" ht="15.75" x14ac:dyDescent="0.25">
      <c r="G25" s="1"/>
      <c r="L25" s="5"/>
      <c r="M25" s="5"/>
      <c r="N25" s="5">
        <v>250</v>
      </c>
      <c r="O25" s="5"/>
      <c r="P25" s="5"/>
      <c r="Q25" s="5"/>
    </row>
    <row r="26" spans="7:18" s="33" customFormat="1" ht="15.75" x14ac:dyDescent="0.25">
      <c r="G26" s="32" t="s">
        <v>63</v>
      </c>
      <c r="L26" s="35">
        <v>6.8999999999999997E-4</v>
      </c>
      <c r="M26" s="35">
        <v>6.8999999999999997E-4</v>
      </c>
      <c r="N26" s="35">
        <v>6.8999999999999997E-4</v>
      </c>
      <c r="O26" s="35">
        <v>6.8999999999999997E-4</v>
      </c>
      <c r="P26" s="35">
        <v>6.8999999999999997E-4</v>
      </c>
      <c r="Q26" s="35">
        <v>6.8999999999999997E-4</v>
      </c>
    </row>
    <row r="27" spans="7:18" s="33" customFormat="1" ht="15.75" x14ac:dyDescent="0.25">
      <c r="G27" s="32" t="s">
        <v>62</v>
      </c>
      <c r="L27" s="36">
        <f>L13/(L14*0.95)</f>
        <v>4.6175342551778723E-3</v>
      </c>
      <c r="M27" s="36">
        <f t="shared" ref="M27:Q27" si="8">M13/(M14*0.95)</f>
        <v>9.2350685103557446E-3</v>
      </c>
      <c r="N27" s="36">
        <f t="shared" si="8"/>
        <v>1.1543835637944682E-2</v>
      </c>
      <c r="O27" s="36">
        <f t="shared" si="8"/>
        <v>1.3852602765533616E-2</v>
      </c>
      <c r="P27" s="36">
        <f t="shared" si="8"/>
        <v>1.8470137020711489E-2</v>
      </c>
      <c r="Q27" s="36">
        <f t="shared" si="8"/>
        <v>2.3087671275889364E-2</v>
      </c>
    </row>
    <row r="28" spans="7:18" s="33" customFormat="1" x14ac:dyDescent="0.25">
      <c r="G28" s="33" t="s">
        <v>64</v>
      </c>
      <c r="L28" s="37">
        <f>($H$18*L27*L26)/L16</f>
        <v>2.4304057690623666</v>
      </c>
      <c r="M28" s="37">
        <f t="shared" ref="M28:Q28" si="9">($H$18*M27*M26)/M16</f>
        <v>4.8608115381247332</v>
      </c>
      <c r="N28" s="37">
        <f t="shared" si="9"/>
        <v>6.0760144226559181</v>
      </c>
      <c r="O28" s="37">
        <f t="shared" si="9"/>
        <v>7.2912173071871011</v>
      </c>
      <c r="P28" s="37">
        <f t="shared" si="9"/>
        <v>9.7216230762494664</v>
      </c>
      <c r="Q28" s="37">
        <f t="shared" si="9"/>
        <v>12.152028845311836</v>
      </c>
    </row>
    <row r="29" spans="7:18" s="33" customFormat="1" ht="15.75" x14ac:dyDescent="0.25">
      <c r="G29" s="32" t="s">
        <v>65</v>
      </c>
      <c r="L29" s="37">
        <f>1.029*($H$23^0.33)*(L28^0.55)*((0.02/L26)^-0.472)</f>
        <v>4.0218016268223042</v>
      </c>
      <c r="M29" s="37">
        <f t="shared" ref="M29:Q29" si="10">1.029*($H$23^0.33)*(M28^0.55)*((0.02/M26)^-0.472)</f>
        <v>5.8882622337613819</v>
      </c>
      <c r="N29" s="37">
        <f t="shared" si="10"/>
        <v>6.6571393858784207</v>
      </c>
      <c r="O29" s="37">
        <f t="shared" si="10"/>
        <v>7.3593140368201642</v>
      </c>
      <c r="P29" s="37">
        <f t="shared" si="10"/>
        <v>8.6209205104268758</v>
      </c>
      <c r="Q29" s="37">
        <f t="shared" si="10"/>
        <v>9.7466225507808435</v>
      </c>
    </row>
    <row r="30" spans="7:18" s="33" customFormat="1" ht="15.75" x14ac:dyDescent="0.25">
      <c r="G30" s="32" t="s">
        <v>69</v>
      </c>
      <c r="L30" s="37">
        <f>(L15*L26)/L21</f>
        <v>4035.7249390254597</v>
      </c>
      <c r="M30" s="37">
        <f t="shared" ref="M30:Q30" si="11">(M15*M26)/M21</f>
        <v>8071.4498780509193</v>
      </c>
      <c r="N30" s="37">
        <f t="shared" si="11"/>
        <v>10089.312347563651</v>
      </c>
      <c r="O30" s="37">
        <f t="shared" si="11"/>
        <v>12107.174817076379</v>
      </c>
      <c r="P30" s="37">
        <f t="shared" si="11"/>
        <v>16142.899756101839</v>
      </c>
      <c r="Q30" s="37">
        <f t="shared" si="11"/>
        <v>20178.624695127302</v>
      </c>
    </row>
    <row r="31" spans="7:18" s="33" customFormat="1" x14ac:dyDescent="0.25"/>
    <row r="34" spans="2:17" s="33" customFormat="1" x14ac:dyDescent="0.25">
      <c r="P34" s="33">
        <v>400</v>
      </c>
    </row>
    <row r="35" spans="2:17" s="33" customFormat="1" ht="15.75" x14ac:dyDescent="0.25">
      <c r="G35" s="32" t="s">
        <v>66</v>
      </c>
      <c r="L35" s="35">
        <v>8.4000000000000003E-4</v>
      </c>
      <c r="M35" s="35">
        <v>8.4000000000000003E-4</v>
      </c>
      <c r="N35" s="35">
        <v>8.4000000000000003E-4</v>
      </c>
      <c r="O35" s="35">
        <v>8.4000000000000003E-4</v>
      </c>
      <c r="P35" s="35">
        <v>8.4000000000000003E-4</v>
      </c>
      <c r="Q35" s="35">
        <v>8.4000000000000003E-4</v>
      </c>
    </row>
    <row r="36" spans="2:17" s="33" customFormat="1" ht="15.75" x14ac:dyDescent="0.25">
      <c r="G36" s="32" t="s">
        <v>62</v>
      </c>
      <c r="L36" s="36">
        <f>L13/(L14*0.95)</f>
        <v>4.6175342551778723E-3</v>
      </c>
      <c r="M36" s="36">
        <f t="shared" ref="M36:Q36" si="12">M13/(M14*0.95)</f>
        <v>9.2350685103557446E-3</v>
      </c>
      <c r="N36" s="36">
        <f t="shared" si="12"/>
        <v>1.1543835637944682E-2</v>
      </c>
      <c r="O36" s="36">
        <f t="shared" si="12"/>
        <v>1.3852602765533616E-2</v>
      </c>
      <c r="P36" s="36">
        <f t="shared" si="12"/>
        <v>1.8470137020711489E-2</v>
      </c>
      <c r="Q36" s="36">
        <f t="shared" si="12"/>
        <v>2.3087671275889364E-2</v>
      </c>
    </row>
    <row r="37" spans="2:17" s="33" customFormat="1" x14ac:dyDescent="0.25">
      <c r="G37" s="33" t="s">
        <v>67</v>
      </c>
      <c r="L37" s="37">
        <f>($H$18*L36*L35)/L16</f>
        <v>2.9587548492933164</v>
      </c>
      <c r="M37" s="37">
        <f t="shared" ref="M37:Q37" si="13">($H$18*M36*M35)/M16</f>
        <v>5.9175096985866329</v>
      </c>
      <c r="N37" s="37">
        <f t="shared" si="13"/>
        <v>7.3968871232332933</v>
      </c>
      <c r="O37" s="37">
        <f t="shared" si="13"/>
        <v>8.8762645478799485</v>
      </c>
      <c r="P37" s="37">
        <f t="shared" si="13"/>
        <v>11.835019397173266</v>
      </c>
      <c r="Q37" s="37">
        <f t="shared" si="13"/>
        <v>14.793774246466587</v>
      </c>
    </row>
    <row r="38" spans="2:17" s="33" customFormat="1" ht="15.75" x14ac:dyDescent="0.25">
      <c r="G38" s="32" t="s">
        <v>68</v>
      </c>
      <c r="L38" s="37">
        <f>1.029*($H$23^0.33)*(L37^0.55)*((0.02/L35)^-0.472)</f>
        <v>4.9173407618763871</v>
      </c>
      <c r="M38" s="37">
        <f t="shared" ref="M38:Q38" si="14">1.029*($H$23^0.33)*(M37^0.55)*((0.02/M35)^-0.472)</f>
        <v>7.1994082715535832</v>
      </c>
      <c r="N38" s="37">
        <f t="shared" si="14"/>
        <v>8.139492172202818</v>
      </c>
      <c r="O38" s="37">
        <f t="shared" si="14"/>
        <v>8.9980208499984666</v>
      </c>
      <c r="P38" s="37">
        <f t="shared" si="14"/>
        <v>10.54055066965422</v>
      </c>
      <c r="Q38" s="37">
        <f t="shared" si="14"/>
        <v>11.916914061583531</v>
      </c>
    </row>
    <row r="39" spans="2:17" s="33" customFormat="1" ht="15.75" x14ac:dyDescent="0.25">
      <c r="G39" s="32" t="s">
        <v>69</v>
      </c>
      <c r="L39" s="37">
        <f>(L15*L35)/L21</f>
        <v>4913.056447509256</v>
      </c>
      <c r="M39" s="37">
        <f t="shared" ref="M39:Q39" si="15">(M15*M35)/M21</f>
        <v>9826.1128950185121</v>
      </c>
      <c r="N39" s="37">
        <f t="shared" si="15"/>
        <v>12282.641118773139</v>
      </c>
      <c r="O39" s="37">
        <f t="shared" si="15"/>
        <v>14739.169342527766</v>
      </c>
      <c r="P39" s="37">
        <f t="shared" si="15"/>
        <v>19652.225790037024</v>
      </c>
      <c r="Q39" s="37">
        <f t="shared" si="15"/>
        <v>24565.282237546278</v>
      </c>
    </row>
    <row r="40" spans="2:17" s="33" customFormat="1" x14ac:dyDescent="0.25"/>
    <row r="41" spans="2:17" s="33" customFormat="1" x14ac:dyDescent="0.25"/>
    <row r="44" spans="2:17" x14ac:dyDescent="0.25">
      <c r="B44" t="s">
        <v>30</v>
      </c>
    </row>
    <row r="45" spans="2:17" x14ac:dyDescent="0.25">
      <c r="B45" s="23" t="s">
        <v>31</v>
      </c>
    </row>
    <row r="46" spans="2:17" x14ac:dyDescent="0.25">
      <c r="B46" s="23" t="s"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6EF3-11D1-4E52-BBB8-1667609A4DD7}">
  <dimension ref="C2:I23"/>
  <sheetViews>
    <sheetView workbookViewId="0">
      <selection activeCell="R11" sqref="R11"/>
    </sheetView>
  </sheetViews>
  <sheetFormatPr defaultRowHeight="15" x14ac:dyDescent="0.25"/>
  <cols>
    <col min="3" max="3" width="9.42578125" bestFit="1" customWidth="1"/>
    <col min="4" max="4" width="12" bestFit="1" customWidth="1"/>
    <col min="5" max="5" width="12.85546875" bestFit="1" customWidth="1"/>
    <col min="7" max="7" width="12" bestFit="1" customWidth="1"/>
  </cols>
  <sheetData>
    <row r="2" spans="3:9" x14ac:dyDescent="0.25">
      <c r="D2" s="42" t="s">
        <v>87</v>
      </c>
      <c r="E2" s="42"/>
      <c r="F2" s="42"/>
      <c r="G2" s="42"/>
    </row>
    <row r="3" spans="3:9" x14ac:dyDescent="0.25">
      <c r="C3" s="38" t="s">
        <v>20</v>
      </c>
      <c r="D3" s="38" t="s">
        <v>20</v>
      </c>
      <c r="E3" s="38" t="s">
        <v>21</v>
      </c>
      <c r="F3" s="38" t="s">
        <v>70</v>
      </c>
      <c r="G3" s="38" t="s">
        <v>23</v>
      </c>
      <c r="H3" s="38" t="s">
        <v>24</v>
      </c>
      <c r="I3" s="38" t="s">
        <v>25</v>
      </c>
    </row>
    <row r="4" spans="3:9" x14ac:dyDescent="0.25">
      <c r="C4" s="38" t="s">
        <v>71</v>
      </c>
      <c r="D4" s="38" t="s">
        <v>72</v>
      </c>
      <c r="E4" s="38" t="s">
        <v>73</v>
      </c>
      <c r="F4" s="43"/>
      <c r="G4" s="43"/>
      <c r="H4" s="43"/>
      <c r="I4" s="43"/>
    </row>
    <row r="5" spans="3:9" x14ac:dyDescent="0.25">
      <c r="C5" s="38">
        <v>100</v>
      </c>
      <c r="D5" s="38" t="s">
        <v>74</v>
      </c>
      <c r="E5" s="38" t="s">
        <v>75</v>
      </c>
      <c r="F5" s="48">
        <v>2.9587548492933164</v>
      </c>
      <c r="G5" s="39">
        <v>4913</v>
      </c>
      <c r="H5" s="43"/>
      <c r="I5" s="48">
        <v>4.9173407618763871</v>
      </c>
    </row>
    <row r="6" spans="3:9" x14ac:dyDescent="0.25">
      <c r="C6" s="38">
        <v>200</v>
      </c>
      <c r="D6" s="38" t="s">
        <v>76</v>
      </c>
      <c r="E6" s="38" t="s">
        <v>77</v>
      </c>
      <c r="F6" s="48">
        <v>5.9175096985866329</v>
      </c>
      <c r="G6" s="38">
        <v>9826</v>
      </c>
      <c r="H6" s="43"/>
      <c r="I6" s="48">
        <v>7.1994082715535832</v>
      </c>
    </row>
    <row r="7" spans="3:9" x14ac:dyDescent="0.25">
      <c r="C7" s="38">
        <v>250</v>
      </c>
      <c r="D7" s="38" t="s">
        <v>78</v>
      </c>
      <c r="E7" s="38" t="s">
        <v>79</v>
      </c>
      <c r="F7" s="48">
        <v>7.3968871232332933</v>
      </c>
      <c r="G7" s="38">
        <v>12283</v>
      </c>
      <c r="H7" s="40" t="s">
        <v>80</v>
      </c>
      <c r="I7" s="48">
        <v>8.139492172202818</v>
      </c>
    </row>
    <row r="8" spans="3:9" x14ac:dyDescent="0.25">
      <c r="C8" s="38">
        <v>300</v>
      </c>
      <c r="D8" s="38" t="s">
        <v>81</v>
      </c>
      <c r="E8" s="38" t="s">
        <v>82</v>
      </c>
      <c r="F8" s="48">
        <v>8.8762645478799485</v>
      </c>
      <c r="G8" s="38">
        <v>14739</v>
      </c>
      <c r="H8" s="41"/>
      <c r="I8" s="48">
        <v>8.9980208499984666</v>
      </c>
    </row>
    <row r="9" spans="3:9" x14ac:dyDescent="0.25">
      <c r="C9" s="38">
        <v>400</v>
      </c>
      <c r="D9" s="38" t="s">
        <v>83</v>
      </c>
      <c r="E9" s="38" t="s">
        <v>84</v>
      </c>
      <c r="F9" s="48">
        <v>11.835019397173266</v>
      </c>
      <c r="G9" s="38">
        <v>19652</v>
      </c>
      <c r="H9" s="45"/>
      <c r="I9" s="48">
        <v>10.54055066965422</v>
      </c>
    </row>
    <row r="10" spans="3:9" x14ac:dyDescent="0.25">
      <c r="C10" s="38">
        <v>500</v>
      </c>
      <c r="D10" s="38" t="s">
        <v>85</v>
      </c>
      <c r="E10" s="38" t="s">
        <v>86</v>
      </c>
      <c r="F10" s="48">
        <v>14.793774246466587</v>
      </c>
      <c r="G10" s="38">
        <v>24565</v>
      </c>
      <c r="H10" s="45"/>
      <c r="I10" s="48">
        <v>11.916914061583531</v>
      </c>
    </row>
    <row r="15" spans="3:9" x14ac:dyDescent="0.25">
      <c r="D15" s="42" t="s">
        <v>88</v>
      </c>
      <c r="E15" s="42"/>
      <c r="F15" s="42"/>
      <c r="G15" s="42"/>
    </row>
    <row r="16" spans="3:9" x14ac:dyDescent="0.25">
      <c r="C16" s="38" t="s">
        <v>20</v>
      </c>
      <c r="D16" s="38" t="s">
        <v>20</v>
      </c>
      <c r="E16" s="38" t="s">
        <v>21</v>
      </c>
      <c r="F16" s="38" t="s">
        <v>70</v>
      </c>
      <c r="G16" s="38" t="s">
        <v>23</v>
      </c>
      <c r="H16" s="38" t="s">
        <v>24</v>
      </c>
      <c r="I16" s="38" t="s">
        <v>25</v>
      </c>
    </row>
    <row r="17" spans="3:9" x14ac:dyDescent="0.25">
      <c r="C17" s="38" t="s">
        <v>71</v>
      </c>
      <c r="D17" s="38" t="s">
        <v>72</v>
      </c>
      <c r="E17" s="38" t="s">
        <v>73</v>
      </c>
      <c r="F17" s="43"/>
      <c r="G17" s="43"/>
      <c r="H17" s="43"/>
      <c r="I17" s="43"/>
    </row>
    <row r="18" spans="3:9" x14ac:dyDescent="0.25">
      <c r="C18" s="38">
        <v>100</v>
      </c>
      <c r="D18" s="38" t="s">
        <v>74</v>
      </c>
      <c r="E18" s="38" t="s">
        <v>75</v>
      </c>
      <c r="F18" s="48">
        <v>2.4304057690623666</v>
      </c>
      <c r="G18" s="38">
        <v>4036</v>
      </c>
      <c r="H18" s="44" t="s">
        <v>80</v>
      </c>
      <c r="I18" s="48">
        <v>4.0218016268223042</v>
      </c>
    </row>
    <row r="19" spans="3:9" x14ac:dyDescent="0.25">
      <c r="C19" s="38">
        <v>200</v>
      </c>
      <c r="D19" s="38" t="s">
        <v>76</v>
      </c>
      <c r="E19" s="38" t="s">
        <v>77</v>
      </c>
      <c r="F19" s="48">
        <v>4.8608115381247332</v>
      </c>
      <c r="G19" s="38">
        <v>8071</v>
      </c>
      <c r="H19" s="44"/>
      <c r="I19" s="48">
        <v>5.8882622337613819</v>
      </c>
    </row>
    <row r="20" spans="3:9" x14ac:dyDescent="0.25">
      <c r="C20" s="38">
        <v>250</v>
      </c>
      <c r="D20" s="38" t="s">
        <v>78</v>
      </c>
      <c r="E20" s="38" t="s">
        <v>79</v>
      </c>
      <c r="F20" s="48">
        <v>6.0760144226559181</v>
      </c>
      <c r="G20" s="38">
        <v>10089</v>
      </c>
      <c r="H20" s="44"/>
      <c r="I20" s="48">
        <v>6.6571393858784207</v>
      </c>
    </row>
    <row r="21" spans="3:9" x14ac:dyDescent="0.25">
      <c r="C21" s="38">
        <v>300</v>
      </c>
      <c r="D21" s="38" t="s">
        <v>81</v>
      </c>
      <c r="E21" s="38" t="s">
        <v>82</v>
      </c>
      <c r="F21" s="48">
        <v>7.2912173071871011</v>
      </c>
      <c r="G21" s="38">
        <v>12107</v>
      </c>
      <c r="H21" s="44"/>
      <c r="I21" s="48">
        <v>7.3593140368201642</v>
      </c>
    </row>
    <row r="22" spans="3:9" x14ac:dyDescent="0.25">
      <c r="C22" s="38">
        <v>400</v>
      </c>
      <c r="D22" s="38" t="s">
        <v>83</v>
      </c>
      <c r="E22" s="38" t="s">
        <v>84</v>
      </c>
      <c r="F22" s="48">
        <v>9.7216230762494664</v>
      </c>
      <c r="G22" s="38">
        <v>16143</v>
      </c>
      <c r="H22" s="44"/>
      <c r="I22" s="48">
        <v>8.6209205104268758</v>
      </c>
    </row>
    <row r="23" spans="3:9" x14ac:dyDescent="0.25">
      <c r="C23" s="38">
        <v>500</v>
      </c>
      <c r="D23" s="38" t="s">
        <v>85</v>
      </c>
      <c r="E23" s="38" t="s">
        <v>86</v>
      </c>
      <c r="F23" s="48">
        <v>12.152028845311836</v>
      </c>
      <c r="G23" s="38">
        <v>20179</v>
      </c>
      <c r="H23" s="44"/>
      <c r="I23" s="48">
        <v>9.7466225507808435</v>
      </c>
    </row>
  </sheetData>
  <mergeCells count="7">
    <mergeCell ref="D2:G2"/>
    <mergeCell ref="D15:G15"/>
    <mergeCell ref="F17:I17"/>
    <mergeCell ref="H18:H23"/>
    <mergeCell ref="F4:I4"/>
    <mergeCell ref="H5:H6"/>
    <mergeCell ref="H9:H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4CE68-6104-4BFC-8C9C-CA2ED41B3728}">
  <dimension ref="A8:W82"/>
  <sheetViews>
    <sheetView topLeftCell="A46" workbookViewId="0">
      <selection activeCell="A42" sqref="A42:G44"/>
    </sheetView>
  </sheetViews>
  <sheetFormatPr defaultRowHeight="15" x14ac:dyDescent="0.25"/>
  <cols>
    <col min="1" max="1" width="14.28515625" bestFit="1" customWidth="1"/>
    <col min="2" max="2" width="14.42578125" bestFit="1" customWidth="1"/>
    <col min="3" max="3" width="12" bestFit="1" customWidth="1"/>
    <col min="4" max="4" width="9.5703125" bestFit="1" customWidth="1"/>
    <col min="7" max="7" width="12.140625" bestFit="1" customWidth="1"/>
    <col min="8" max="10" width="13.7109375" bestFit="1" customWidth="1"/>
    <col min="11" max="12" width="14.7109375" bestFit="1" customWidth="1"/>
    <col min="17" max="17" width="15" bestFit="1" customWidth="1"/>
    <col min="19" max="19" width="12.85546875" bestFit="1" customWidth="1"/>
    <col min="22" max="22" width="9.5703125" bestFit="1" customWidth="1"/>
  </cols>
  <sheetData>
    <row r="8" spans="11:11" x14ac:dyDescent="0.25">
      <c r="K8" s="3"/>
    </row>
    <row r="17" spans="1:23" x14ac:dyDescent="0.25">
      <c r="G17" s="42" t="s">
        <v>60</v>
      </c>
      <c r="H17" s="42"/>
      <c r="I17" s="42"/>
      <c r="J17" s="42"/>
      <c r="K17" s="42"/>
      <c r="L17" s="42"/>
    </row>
    <row r="19" spans="1:23" ht="15.75" thickBot="1" x14ac:dyDescent="0.3"/>
    <row r="20" spans="1:23" x14ac:dyDescent="0.25">
      <c r="B20" t="s">
        <v>33</v>
      </c>
      <c r="D20" s="24" t="s">
        <v>34</v>
      </c>
      <c r="G20" s="10">
        <v>100</v>
      </c>
      <c r="H20" s="11">
        <v>200</v>
      </c>
      <c r="I20" s="11">
        <v>250</v>
      </c>
      <c r="J20" s="11">
        <v>300</v>
      </c>
      <c r="K20" s="11">
        <v>400</v>
      </c>
      <c r="L20" s="12">
        <v>500</v>
      </c>
      <c r="M20" s="24" t="s">
        <v>34</v>
      </c>
    </row>
    <row r="21" spans="1:23" ht="16.5" x14ac:dyDescent="0.25">
      <c r="B21" s="1" t="s">
        <v>0</v>
      </c>
      <c r="C21">
        <f>22/1000</f>
        <v>2.1999999999999999E-2</v>
      </c>
      <c r="D21" s="24" t="s">
        <v>8</v>
      </c>
      <c r="F21" s="1" t="s">
        <v>0</v>
      </c>
      <c r="G21" s="13">
        <f>22/1000</f>
        <v>2.1999999999999999E-2</v>
      </c>
      <c r="H21">
        <f t="shared" ref="H21:L21" si="0">22/1000</f>
        <v>2.1999999999999999E-2</v>
      </c>
      <c r="I21">
        <f>22/1000</f>
        <v>2.1999999999999999E-2</v>
      </c>
      <c r="J21">
        <f t="shared" si="0"/>
        <v>2.1999999999999999E-2</v>
      </c>
      <c r="K21">
        <f t="shared" si="0"/>
        <v>2.1999999999999999E-2</v>
      </c>
      <c r="L21" s="14">
        <f t="shared" si="0"/>
        <v>2.1999999999999999E-2</v>
      </c>
      <c r="M21" s="24" t="s">
        <v>8</v>
      </c>
      <c r="Q21" s="6" t="s">
        <v>20</v>
      </c>
      <c r="R21" s="6" t="s">
        <v>20</v>
      </c>
      <c r="S21" s="6" t="s">
        <v>21</v>
      </c>
      <c r="T21" s="6" t="s">
        <v>22</v>
      </c>
      <c r="U21" s="6" t="s">
        <v>23</v>
      </c>
      <c r="V21" s="6" t="s">
        <v>24</v>
      </c>
      <c r="W21" s="6" t="s">
        <v>25</v>
      </c>
    </row>
    <row r="22" spans="1:23" x14ac:dyDescent="0.25">
      <c r="B22" t="s">
        <v>1</v>
      </c>
      <c r="D22" s="24" t="s">
        <v>16</v>
      </c>
      <c r="F22" t="s">
        <v>1</v>
      </c>
      <c r="G22" s="15">
        <f>((G20/1000)/(1000*60))</f>
        <v>1.6666666666666667E-6</v>
      </c>
      <c r="H22">
        <f t="shared" ref="H22:L22" si="1">((H20/1000)/(1000*60))</f>
        <v>3.3333333333333333E-6</v>
      </c>
      <c r="I22" s="4">
        <f t="shared" si="1"/>
        <v>4.1666666666666669E-6</v>
      </c>
      <c r="J22">
        <f>((J20/1000)/(1000*60))</f>
        <v>4.9999999999999996E-6</v>
      </c>
      <c r="K22">
        <f t="shared" si="1"/>
        <v>6.6666666666666666E-6</v>
      </c>
      <c r="L22" s="14">
        <f t="shared" si="1"/>
        <v>8.3333333333333337E-6</v>
      </c>
      <c r="M22" s="24" t="s">
        <v>16</v>
      </c>
      <c r="Q22" s="8" t="s">
        <v>26</v>
      </c>
      <c r="R22" s="8" t="s">
        <v>27</v>
      </c>
      <c r="S22" s="8" t="s">
        <v>28</v>
      </c>
      <c r="T22" s="46"/>
      <c r="U22" s="46"/>
      <c r="V22" s="46"/>
      <c r="W22" s="46"/>
    </row>
    <row r="23" spans="1:23" ht="15.75" x14ac:dyDescent="0.25">
      <c r="B23" s="1" t="s">
        <v>2</v>
      </c>
      <c r="C23">
        <f>3.14*(0.011*0.011)</f>
        <v>3.7994E-4</v>
      </c>
      <c r="D23" s="24" t="s">
        <v>9</v>
      </c>
      <c r="F23" s="1" t="s">
        <v>2</v>
      </c>
      <c r="G23" s="15">
        <f>3.14*(0.011*0.011)</f>
        <v>3.7994E-4</v>
      </c>
      <c r="H23" s="4">
        <f t="shared" ref="H23:L23" si="2">3.14*(0.011*0.011)</f>
        <v>3.7994E-4</v>
      </c>
      <c r="I23" s="4">
        <f>3.14*(0.011*0.011)</f>
        <v>3.7994E-4</v>
      </c>
      <c r="J23" s="4">
        <f t="shared" si="2"/>
        <v>3.7994E-4</v>
      </c>
      <c r="K23" s="4">
        <f t="shared" si="2"/>
        <v>3.7994E-4</v>
      </c>
      <c r="L23" s="16">
        <f t="shared" si="2"/>
        <v>3.7994E-4</v>
      </c>
      <c r="M23" s="24" t="s">
        <v>9</v>
      </c>
      <c r="Q23" s="8">
        <v>100</v>
      </c>
      <c r="R23">
        <v>1.6666666666666667E-6</v>
      </c>
      <c r="S23" s="4">
        <v>4.3866575424189782E-3</v>
      </c>
      <c r="T23">
        <v>73.616638512178938</v>
      </c>
      <c r="U23">
        <v>12867.52879109567</v>
      </c>
      <c r="V23" s="47">
        <v>1747.9103978602475</v>
      </c>
      <c r="W23" s="5">
        <v>134.5305251272859</v>
      </c>
    </row>
    <row r="24" spans="1:23" ht="15.75" x14ac:dyDescent="0.25">
      <c r="B24" s="1" t="s">
        <v>3</v>
      </c>
      <c r="D24" s="24" t="s">
        <v>17</v>
      </c>
      <c r="F24" s="1" t="s">
        <v>3</v>
      </c>
      <c r="G24" s="17">
        <f>G22/G23</f>
        <v>4.3866575424189782E-3</v>
      </c>
      <c r="H24" s="18">
        <f t="shared" ref="H24:L24" si="3">H22/H23</f>
        <v>8.7733150848379564E-3</v>
      </c>
      <c r="I24" s="18">
        <f t="shared" si="3"/>
        <v>1.0966643856047446E-2</v>
      </c>
      <c r="J24" s="18">
        <f t="shared" si="3"/>
        <v>1.3159972627256935E-2</v>
      </c>
      <c r="K24" s="18">
        <f t="shared" si="3"/>
        <v>1.7546630169675913E-2</v>
      </c>
      <c r="L24" s="19">
        <f t="shared" si="3"/>
        <v>2.1933287712094893E-2</v>
      </c>
      <c r="M24" s="24" t="s">
        <v>17</v>
      </c>
      <c r="Q24" s="8">
        <v>200</v>
      </c>
      <c r="R24">
        <v>3.3333333333333333E-6</v>
      </c>
      <c r="S24" s="4">
        <v>8.7733150848379564E-3</v>
      </c>
      <c r="T24">
        <v>147.23327702435788</v>
      </c>
      <c r="U24" s="5">
        <v>25735.057582191341</v>
      </c>
      <c r="V24" s="47"/>
      <c r="W24" s="5">
        <v>196.9642175069128</v>
      </c>
    </row>
    <row r="25" spans="1:23" ht="15.75" x14ac:dyDescent="0.25">
      <c r="B25" s="2" t="s">
        <v>4</v>
      </c>
      <c r="D25" s="24"/>
      <c r="F25" s="2" t="s">
        <v>4</v>
      </c>
      <c r="G25" s="15">
        <v>1.307E-3</v>
      </c>
      <c r="H25" s="4">
        <v>1.307E-3</v>
      </c>
      <c r="I25" s="4">
        <v>1.307E-3</v>
      </c>
      <c r="J25" s="4">
        <v>1.307E-3</v>
      </c>
      <c r="K25" s="4">
        <v>1.307E-3</v>
      </c>
      <c r="L25" s="16">
        <v>1.307E-3</v>
      </c>
      <c r="M25" s="24"/>
      <c r="Q25" s="8">
        <v>250</v>
      </c>
      <c r="R25">
        <v>4.1666666666666669E-6</v>
      </c>
      <c r="S25" s="4">
        <v>1.0966643856047446E-2</v>
      </c>
      <c r="T25">
        <v>184.04159628044735</v>
      </c>
      <c r="U25" s="5">
        <v>32168.821977739175</v>
      </c>
      <c r="V25" s="47"/>
      <c r="W25" s="5">
        <v>222.6833992643694</v>
      </c>
    </row>
    <row r="26" spans="1:23" ht="15.75" x14ac:dyDescent="0.25">
      <c r="B26" s="1" t="s">
        <v>5</v>
      </c>
      <c r="D26" s="24"/>
      <c r="F26" s="1" t="s">
        <v>5</v>
      </c>
      <c r="G26" s="13"/>
      <c r="L26" s="14"/>
      <c r="M26" s="24"/>
      <c r="Q26" s="8">
        <v>300</v>
      </c>
      <c r="R26">
        <v>4.9999999999999996E-6</v>
      </c>
      <c r="S26" s="4">
        <v>1.3159972627256935E-2</v>
      </c>
      <c r="T26">
        <v>220.84991553653677</v>
      </c>
      <c r="U26" s="5">
        <v>38602.586373287013</v>
      </c>
      <c r="V26" s="47"/>
      <c r="W26" s="5">
        <v>246.17136144834686</v>
      </c>
    </row>
    <row r="27" spans="1:23" ht="15.75" x14ac:dyDescent="0.25">
      <c r="B27" s="1" t="s">
        <v>6</v>
      </c>
      <c r="C27">
        <v>997</v>
      </c>
      <c r="D27" s="24" t="s">
        <v>10</v>
      </c>
      <c r="F27" s="1" t="s">
        <v>6</v>
      </c>
      <c r="G27" s="13">
        <v>997</v>
      </c>
      <c r="H27">
        <v>997</v>
      </c>
      <c r="I27">
        <v>997</v>
      </c>
      <c r="J27">
        <v>997</v>
      </c>
      <c r="K27">
        <v>997</v>
      </c>
      <c r="L27" s="14">
        <v>997</v>
      </c>
      <c r="M27" s="24" t="s">
        <v>10</v>
      </c>
      <c r="Q27" s="8">
        <v>400</v>
      </c>
      <c r="R27">
        <v>6.6666666666666666E-6</v>
      </c>
      <c r="S27" s="4">
        <v>1.7546630169675913E-2</v>
      </c>
      <c r="T27">
        <v>294.46655404871575</v>
      </c>
      <c r="U27" s="5">
        <v>51470.115164382682</v>
      </c>
      <c r="V27" s="47"/>
      <c r="W27" s="5">
        <v>288.37249346499397</v>
      </c>
    </row>
    <row r="28" spans="1:23" ht="15.75" x14ac:dyDescent="0.25">
      <c r="B28" s="1" t="s">
        <v>7</v>
      </c>
      <c r="D28" s="24"/>
      <c r="F28" s="1" t="s">
        <v>7</v>
      </c>
      <c r="G28" s="15">
        <f>G27*G22</f>
        <v>1.6616666666666668E-3</v>
      </c>
      <c r="H28" s="4">
        <f t="shared" ref="H28:L28" si="4">H27*H22</f>
        <v>3.3233333333333335E-3</v>
      </c>
      <c r="I28" s="4">
        <f t="shared" si="4"/>
        <v>4.1541666666666671E-3</v>
      </c>
      <c r="J28" s="4">
        <f t="shared" si="4"/>
        <v>4.9849999999999998E-3</v>
      </c>
      <c r="K28" s="4">
        <f t="shared" si="4"/>
        <v>6.646666666666667E-3</v>
      </c>
      <c r="L28" s="16">
        <f t="shared" si="4"/>
        <v>8.3083333333333342E-3</v>
      </c>
      <c r="M28" s="24"/>
      <c r="Q28" s="8">
        <v>500</v>
      </c>
      <c r="R28">
        <v>8.3333333333333337E-6</v>
      </c>
      <c r="S28" s="4">
        <v>2.1933287712094893E-2</v>
      </c>
      <c r="T28">
        <v>368.0831925608947</v>
      </c>
      <c r="U28" s="5">
        <v>64337.64395547835</v>
      </c>
      <c r="V28" s="47"/>
      <c r="W28" s="5">
        <v>326.0275795875117</v>
      </c>
    </row>
    <row r="29" spans="1:23" ht="16.5" thickBot="1" x14ac:dyDescent="0.3">
      <c r="B29" s="1" t="s">
        <v>12</v>
      </c>
      <c r="D29" s="24" t="s">
        <v>13</v>
      </c>
      <c r="F29" s="1" t="s">
        <v>11</v>
      </c>
      <c r="G29" s="20">
        <f t="shared" ref="G29:L29" si="5">(G21*G28)/(G25*G23)/0.95</f>
        <v>77.491198433872569</v>
      </c>
      <c r="H29" s="20">
        <f t="shared" si="5"/>
        <v>154.98239686774514</v>
      </c>
      <c r="I29" s="20">
        <f t="shared" si="5"/>
        <v>193.72799608468142</v>
      </c>
      <c r="J29" s="20">
        <f t="shared" si="5"/>
        <v>232.47359530161765</v>
      </c>
      <c r="K29" s="20">
        <f t="shared" si="5"/>
        <v>309.96479373549028</v>
      </c>
      <c r="L29" s="20">
        <f t="shared" si="5"/>
        <v>387.45599216936284</v>
      </c>
      <c r="M29" s="24" t="s">
        <v>13</v>
      </c>
    </row>
    <row r="30" spans="1:23" ht="15.75" x14ac:dyDescent="0.25">
      <c r="A30" t="s">
        <v>29</v>
      </c>
      <c r="B30" s="1" t="s">
        <v>14</v>
      </c>
      <c r="C30" s="4">
        <v>7.5E-10</v>
      </c>
      <c r="D30" s="24" t="s">
        <v>35</v>
      </c>
      <c r="G30" s="4">
        <v>7.5E-10</v>
      </c>
      <c r="H30" s="4">
        <v>7.5E-10</v>
      </c>
      <c r="I30" s="4">
        <v>7.5E-10</v>
      </c>
      <c r="J30" s="4">
        <v>7.5E-10</v>
      </c>
      <c r="K30" s="4">
        <v>7.5E-10</v>
      </c>
      <c r="L30" s="4">
        <v>7.5E-10</v>
      </c>
      <c r="M30" s="24" t="s">
        <v>35</v>
      </c>
    </row>
    <row r="31" spans="1:23" ht="15.75" x14ac:dyDescent="0.25">
      <c r="B31" s="1" t="s">
        <v>18</v>
      </c>
      <c r="G31" s="4">
        <f>(G24*G21)/G30</f>
        <v>128675.28791095669</v>
      </c>
      <c r="H31" s="4">
        <f>(H24*H21)/H30</f>
        <v>257350.57582191337</v>
      </c>
      <c r="I31" s="4">
        <f t="shared" ref="I31:L31" si="6">(I24*I21)/I30</f>
        <v>321688.21977739176</v>
      </c>
      <c r="J31" s="4">
        <f t="shared" si="6"/>
        <v>386025.86373287009</v>
      </c>
      <c r="K31" s="4">
        <f t="shared" si="6"/>
        <v>514701.15164382674</v>
      </c>
      <c r="L31" s="4">
        <f t="shared" si="6"/>
        <v>643376.43955478352</v>
      </c>
    </row>
    <row r="32" spans="1:23" x14ac:dyDescent="0.25">
      <c r="B32" t="s">
        <v>15</v>
      </c>
      <c r="C32" s="9">
        <f>(G25)/(C30*G27)</f>
        <v>1747.9103978602475</v>
      </c>
      <c r="D32" s="9"/>
    </row>
    <row r="33" spans="1:18" ht="15.75" x14ac:dyDescent="0.25">
      <c r="B33" s="1" t="s">
        <v>19</v>
      </c>
      <c r="G33" s="9">
        <f>1.029*($C$32^0.33)*(G29^0.55)*((0.02/0.022)^-0.472)</f>
        <v>138.37984968532669</v>
      </c>
      <c r="H33" s="9">
        <f t="shared" ref="H33:L33" si="7">1.029*($C$32^0.33)*(H29^0.55)*((0.02/0.022)^-0.472)</f>
        <v>202.59995853139253</v>
      </c>
      <c r="I33" s="9">
        <f t="shared" si="7"/>
        <v>229.05504374167526</v>
      </c>
      <c r="J33" s="9">
        <f t="shared" si="7"/>
        <v>253.21506744899517</v>
      </c>
      <c r="K33" s="9">
        <f t="shared" si="7"/>
        <v>296.62370128498873</v>
      </c>
      <c r="L33" s="9">
        <f t="shared" si="7"/>
        <v>335.35621312638631</v>
      </c>
    </row>
    <row r="35" spans="1:18" x14ac:dyDescent="0.25">
      <c r="G35" s="5">
        <v>134.5305251272859</v>
      </c>
      <c r="H35" s="5">
        <v>196.9642175069128</v>
      </c>
      <c r="I35" s="5">
        <v>222.6833992643694</v>
      </c>
      <c r="J35" s="5">
        <v>246.17136144834686</v>
      </c>
      <c r="K35" s="5">
        <v>288.37249346499397</v>
      </c>
      <c r="L35" s="5">
        <v>326.0275795875117</v>
      </c>
    </row>
    <row r="37" spans="1:18" x14ac:dyDescent="0.25">
      <c r="G37" s="4"/>
    </row>
    <row r="38" spans="1:18" x14ac:dyDescent="0.25">
      <c r="D38" s="4"/>
      <c r="R38" s="7"/>
    </row>
    <row r="39" spans="1:18" x14ac:dyDescent="0.25">
      <c r="G39">
        <f>((997*4.6*5)/(1.31*0.05))</f>
        <v>350091.6030534351</v>
      </c>
      <c r="H39" s="5"/>
      <c r="I39" s="5"/>
      <c r="J39" s="5"/>
      <c r="K39" s="5"/>
      <c r="L39" s="5"/>
    </row>
    <row r="42" spans="1:18" x14ac:dyDescent="0.25">
      <c r="A42" t="s">
        <v>30</v>
      </c>
    </row>
    <row r="43" spans="1:18" x14ac:dyDescent="0.25">
      <c r="A43" s="23" t="s">
        <v>31</v>
      </c>
    </row>
    <row r="44" spans="1:18" x14ac:dyDescent="0.25">
      <c r="A44" s="23" t="s">
        <v>32</v>
      </c>
    </row>
    <row r="50" spans="1:19" ht="15.75" x14ac:dyDescent="0.25">
      <c r="B50" s="27" t="s">
        <v>36</v>
      </c>
      <c r="C50" t="s">
        <v>37</v>
      </c>
      <c r="D50" s="28" t="s">
        <v>38</v>
      </c>
      <c r="F50" s="27" t="s">
        <v>39</v>
      </c>
      <c r="H50" t="s">
        <v>37</v>
      </c>
      <c r="I50" s="28" t="s">
        <v>40</v>
      </c>
      <c r="L50" s="29" t="s">
        <v>41</v>
      </c>
      <c r="M50" s="30"/>
      <c r="R50" t="s">
        <v>37</v>
      </c>
      <c r="S50" s="28" t="s">
        <v>42</v>
      </c>
    </row>
    <row r="51" spans="1:19" ht="15.75" x14ac:dyDescent="0.25">
      <c r="C51" t="s">
        <v>43</v>
      </c>
      <c r="D51" s="31" t="s">
        <v>44</v>
      </c>
      <c r="H51" t="s">
        <v>43</v>
      </c>
      <c r="I51" s="31" t="s">
        <v>45</v>
      </c>
      <c r="L51" s="28" t="s">
        <v>46</v>
      </c>
      <c r="R51" t="s">
        <v>43</v>
      </c>
      <c r="S51" s="31" t="s">
        <v>47</v>
      </c>
    </row>
    <row r="52" spans="1:19" ht="15.75" x14ac:dyDescent="0.25">
      <c r="C52" s="1" t="s">
        <v>0</v>
      </c>
      <c r="D52" t="s">
        <v>48</v>
      </c>
      <c r="H52" s="1" t="s">
        <v>0</v>
      </c>
      <c r="I52" t="s">
        <v>49</v>
      </c>
      <c r="L52" t="s">
        <v>50</v>
      </c>
      <c r="R52" s="1" t="s">
        <v>0</v>
      </c>
      <c r="S52" t="s">
        <v>51</v>
      </c>
    </row>
    <row r="53" spans="1:19" x14ac:dyDescent="0.25">
      <c r="L53" t="s">
        <v>52</v>
      </c>
    </row>
    <row r="54" spans="1:19" ht="15.75" x14ac:dyDescent="0.25">
      <c r="D54" s="25"/>
      <c r="L54" t="s">
        <v>53</v>
      </c>
    </row>
    <row r="55" spans="1:19" x14ac:dyDescent="0.25">
      <c r="A55" s="29" t="s">
        <v>41</v>
      </c>
      <c r="B55" t="s">
        <v>37</v>
      </c>
      <c r="C55" s="26">
        <f>3.14*(C61^2)-((C62^2)*C63)</f>
        <v>3.7493999999999998E-4</v>
      </c>
      <c r="D55" s="3"/>
    </row>
    <row r="56" spans="1:19" ht="15.75" x14ac:dyDescent="0.25">
      <c r="C56" s="1"/>
      <c r="D56" s="18"/>
    </row>
    <row r="58" spans="1:19" ht="15.75" x14ac:dyDescent="0.25">
      <c r="B58" s="1" t="s">
        <v>0</v>
      </c>
      <c r="C58" s="18">
        <f>(4*3.14*((C61^2)-(C62^2)*C63))/(2*3.14*(C61+(C62)*C63))</f>
        <v>2.0173913043478257E-2</v>
      </c>
      <c r="D58" s="1"/>
      <c r="E58" s="18"/>
    </row>
    <row r="61" spans="1:19" x14ac:dyDescent="0.25">
      <c r="A61" t="s">
        <v>54</v>
      </c>
      <c r="B61" t="s">
        <v>55</v>
      </c>
      <c r="C61">
        <f>0.022/2</f>
        <v>1.0999999999999999E-2</v>
      </c>
      <c r="D61" t="s">
        <v>8</v>
      </c>
      <c r="E61">
        <f>C61*C61</f>
        <v>1.2099999999999999E-4</v>
      </c>
    </row>
    <row r="62" spans="1:19" x14ac:dyDescent="0.25">
      <c r="A62" t="s">
        <v>56</v>
      </c>
      <c r="B62" t="s">
        <v>57</v>
      </c>
      <c r="C62">
        <f>0.02/2</f>
        <v>0.01</v>
      </c>
      <c r="D62" t="s">
        <v>8</v>
      </c>
      <c r="E62">
        <f>C62*C62</f>
        <v>1E-4</v>
      </c>
    </row>
    <row r="63" spans="1:19" x14ac:dyDescent="0.25">
      <c r="A63" t="s">
        <v>58</v>
      </c>
      <c r="B63" t="s">
        <v>59</v>
      </c>
      <c r="C63">
        <f>1-0.95</f>
        <v>5.0000000000000044E-2</v>
      </c>
      <c r="E63">
        <f>E62*C63</f>
        <v>5.0000000000000046E-6</v>
      </c>
      <c r="G63" s="42" t="s">
        <v>61</v>
      </c>
      <c r="H63" s="42"/>
      <c r="I63" s="42"/>
      <c r="J63" s="42"/>
      <c r="K63" s="42"/>
      <c r="L63" s="42"/>
    </row>
    <row r="64" spans="1:19" ht="15.75" thickBot="1" x14ac:dyDescent="0.3"/>
    <row r="65" spans="1:23" x14ac:dyDescent="0.25">
      <c r="B65" t="s">
        <v>33</v>
      </c>
      <c r="D65" s="24" t="s">
        <v>34</v>
      </c>
      <c r="G65" s="10">
        <v>100</v>
      </c>
      <c r="H65" s="11">
        <v>200</v>
      </c>
      <c r="I65" s="11">
        <v>250</v>
      </c>
      <c r="J65" s="11">
        <v>300</v>
      </c>
      <c r="K65" s="11">
        <v>400</v>
      </c>
      <c r="L65" s="12">
        <v>500</v>
      </c>
      <c r="M65" s="24" t="s">
        <v>34</v>
      </c>
    </row>
    <row r="66" spans="1:23" ht="16.5" x14ac:dyDescent="0.25">
      <c r="B66" s="1" t="s">
        <v>0</v>
      </c>
      <c r="C66" s="18">
        <v>1.982758620689655E-2</v>
      </c>
      <c r="D66" s="24" t="s">
        <v>8</v>
      </c>
      <c r="F66" s="1" t="s">
        <v>0</v>
      </c>
      <c r="G66" s="18">
        <v>1.982758620689655E-2</v>
      </c>
      <c r="H66" s="18">
        <v>1.982758620689655E-2</v>
      </c>
      <c r="I66" s="18">
        <v>1.982758620689655E-2</v>
      </c>
      <c r="J66" s="18">
        <v>1.982758620689655E-2</v>
      </c>
      <c r="K66" s="18">
        <v>1.982758620689655E-2</v>
      </c>
      <c r="L66" s="18">
        <v>1.982758620689655E-2</v>
      </c>
      <c r="M66" s="24" t="s">
        <v>8</v>
      </c>
      <c r="Q66" s="6" t="s">
        <v>20</v>
      </c>
      <c r="R66" s="6" t="s">
        <v>20</v>
      </c>
      <c r="S66" s="6" t="s">
        <v>21</v>
      </c>
      <c r="T66" s="6" t="s">
        <v>22</v>
      </c>
      <c r="U66" s="6" t="s">
        <v>23</v>
      </c>
      <c r="V66" s="6" t="s">
        <v>24</v>
      </c>
      <c r="W66" s="6" t="s">
        <v>25</v>
      </c>
    </row>
    <row r="67" spans="1:23" x14ac:dyDescent="0.25">
      <c r="B67" t="s">
        <v>1</v>
      </c>
      <c r="D67" s="24" t="s">
        <v>16</v>
      </c>
      <c r="F67" t="s">
        <v>1</v>
      </c>
      <c r="G67" s="15">
        <f>((G65/1000)/(1000*60))</f>
        <v>1.6666666666666667E-6</v>
      </c>
      <c r="H67">
        <f t="shared" ref="H67:I67" si="8">((H65/1000)/(1000*60))</f>
        <v>3.3333333333333333E-6</v>
      </c>
      <c r="I67" s="4">
        <f t="shared" si="8"/>
        <v>4.1666666666666669E-6</v>
      </c>
      <c r="J67">
        <f>((J65/1000)/(1000*60))</f>
        <v>4.9999999999999996E-6</v>
      </c>
      <c r="K67">
        <f t="shared" ref="K67:L67" si="9">((K65/1000)/(1000*60))</f>
        <v>6.6666666666666666E-6</v>
      </c>
      <c r="L67" s="14">
        <f t="shared" si="9"/>
        <v>8.3333333333333337E-6</v>
      </c>
      <c r="M67" s="24" t="s">
        <v>16</v>
      </c>
      <c r="Q67" s="8" t="s">
        <v>26</v>
      </c>
      <c r="R67" s="8" t="s">
        <v>27</v>
      </c>
      <c r="S67" s="8" t="s">
        <v>28</v>
      </c>
      <c r="T67" s="46"/>
      <c r="U67" s="46"/>
      <c r="V67" s="46"/>
      <c r="W67" s="46"/>
    </row>
    <row r="68" spans="1:23" ht="15.75" x14ac:dyDescent="0.25">
      <c r="B68" s="1" t="s">
        <v>2</v>
      </c>
      <c r="C68">
        <f>3.14*(0.011*0.011)</f>
        <v>3.7994E-4</v>
      </c>
      <c r="D68" s="24" t="s">
        <v>9</v>
      </c>
      <c r="F68" s="1" t="s">
        <v>2</v>
      </c>
      <c r="G68" s="15">
        <f>3.14*(0.011*0.011)</f>
        <v>3.7994E-4</v>
      </c>
      <c r="H68" s="4">
        <f t="shared" ref="H68:L68" si="10">3.14*(0.011*0.011)</f>
        <v>3.7994E-4</v>
      </c>
      <c r="I68" s="4">
        <f>3.14*(0.011*0.011)</f>
        <v>3.7994E-4</v>
      </c>
      <c r="J68" s="4">
        <f t="shared" si="10"/>
        <v>3.7994E-4</v>
      </c>
      <c r="K68" s="4">
        <f t="shared" si="10"/>
        <v>3.7994E-4</v>
      </c>
      <c r="L68" s="16">
        <f t="shared" si="10"/>
        <v>3.7994E-4</v>
      </c>
      <c r="M68" s="24" t="s">
        <v>9</v>
      </c>
      <c r="Q68" s="8">
        <v>100</v>
      </c>
      <c r="R68">
        <v>1.6666666666666667E-6</v>
      </c>
      <c r="S68" s="4">
        <v>4.3866575424189782E-3</v>
      </c>
      <c r="T68" s="5">
        <v>66.347283925553114</v>
      </c>
      <c r="U68" s="4">
        <v>11596.910744326033</v>
      </c>
      <c r="V68" s="47">
        <v>1747.9103978602475</v>
      </c>
      <c r="W68" s="5">
        <v>127.05354255201368</v>
      </c>
    </row>
    <row r="69" spans="1:23" ht="15.75" x14ac:dyDescent="0.25">
      <c r="B69" s="1" t="s">
        <v>3</v>
      </c>
      <c r="D69" s="24" t="s">
        <v>17</v>
      </c>
      <c r="F69" s="1" t="s">
        <v>3</v>
      </c>
      <c r="G69" s="17">
        <f>G67/G68</f>
        <v>4.3866575424189782E-3</v>
      </c>
      <c r="H69" s="18">
        <f t="shared" ref="H69:L69" si="11">H67/H68</f>
        <v>8.7733150848379564E-3</v>
      </c>
      <c r="I69" s="18">
        <f t="shared" si="11"/>
        <v>1.0966643856047446E-2</v>
      </c>
      <c r="J69" s="18">
        <f t="shared" si="11"/>
        <v>1.3159972627256935E-2</v>
      </c>
      <c r="K69" s="18">
        <f t="shared" si="11"/>
        <v>1.7546630169675913E-2</v>
      </c>
      <c r="L69" s="19">
        <f t="shared" si="11"/>
        <v>2.1933287712094893E-2</v>
      </c>
      <c r="M69" s="24" t="s">
        <v>17</v>
      </c>
      <c r="Q69" s="8">
        <v>200</v>
      </c>
      <c r="R69">
        <v>3.3333333333333333E-6</v>
      </c>
      <c r="S69" s="4">
        <v>8.7733150848379564E-3</v>
      </c>
      <c r="T69" s="5">
        <v>132.69456785110623</v>
      </c>
      <c r="U69" s="4">
        <v>23193.821488652065</v>
      </c>
      <c r="V69" s="47"/>
      <c r="W69" s="5">
        <v>186.01727426962211</v>
      </c>
    </row>
    <row r="70" spans="1:23" ht="15.75" x14ac:dyDescent="0.25">
      <c r="B70" s="2" t="s">
        <v>4</v>
      </c>
      <c r="D70" s="24"/>
      <c r="F70" s="2" t="s">
        <v>4</v>
      </c>
      <c r="G70" s="15">
        <v>1.307E-3</v>
      </c>
      <c r="H70" s="4">
        <v>1.307E-3</v>
      </c>
      <c r="I70" s="4">
        <v>1.307E-3</v>
      </c>
      <c r="J70" s="4">
        <v>1.307E-3</v>
      </c>
      <c r="K70" s="4">
        <v>1.307E-3</v>
      </c>
      <c r="L70" s="16">
        <v>1.307E-3</v>
      </c>
      <c r="M70" s="24"/>
      <c r="Q70" s="8">
        <v>250</v>
      </c>
      <c r="R70">
        <v>4.1666666666666669E-6</v>
      </c>
      <c r="S70" s="4">
        <v>1.0966643856047446E-2</v>
      </c>
      <c r="T70" s="5">
        <v>165.86820981388277</v>
      </c>
      <c r="U70" s="4">
        <v>28992.276860815091</v>
      </c>
      <c r="V70" s="47"/>
      <c r="W70" s="5">
        <v>210.30702673087376</v>
      </c>
    </row>
    <row r="71" spans="1:23" ht="15.75" x14ac:dyDescent="0.25">
      <c r="B71" s="1" t="s">
        <v>5</v>
      </c>
      <c r="D71" s="24"/>
      <c r="F71" s="1" t="s">
        <v>5</v>
      </c>
      <c r="G71" s="13"/>
      <c r="L71" s="14"/>
      <c r="M71" s="24"/>
      <c r="Q71" s="8">
        <v>300</v>
      </c>
      <c r="R71">
        <v>4.9999999999999996E-6</v>
      </c>
      <c r="S71" s="4">
        <v>1.3159972627256935E-2</v>
      </c>
      <c r="T71" s="5">
        <v>199.04185177665931</v>
      </c>
      <c r="U71" s="4">
        <v>34790.732232978102</v>
      </c>
      <c r="V71" s="47"/>
      <c r="W71" s="5">
        <v>232.48956708726169</v>
      </c>
    </row>
    <row r="72" spans="1:23" ht="15.75" x14ac:dyDescent="0.25">
      <c r="B72" s="1" t="s">
        <v>6</v>
      </c>
      <c r="C72">
        <v>997</v>
      </c>
      <c r="D72" s="24" t="s">
        <v>10</v>
      </c>
      <c r="F72" s="1" t="s">
        <v>6</v>
      </c>
      <c r="G72" s="13">
        <v>997</v>
      </c>
      <c r="H72">
        <v>997</v>
      </c>
      <c r="I72">
        <v>997</v>
      </c>
      <c r="J72">
        <v>997</v>
      </c>
      <c r="K72">
        <v>997</v>
      </c>
      <c r="L72" s="14">
        <v>997</v>
      </c>
      <c r="M72" s="24" t="s">
        <v>10</v>
      </c>
      <c r="Q72" s="8">
        <v>400</v>
      </c>
      <c r="R72">
        <v>6.6666666666666666E-6</v>
      </c>
      <c r="S72" s="4">
        <v>1.7546630169675913E-2</v>
      </c>
      <c r="T72" s="5">
        <v>265.38913570221246</v>
      </c>
      <c r="U72" s="4">
        <v>46387.642977304131</v>
      </c>
      <c r="V72" s="47"/>
      <c r="W72" s="5">
        <v>272.34523045694795</v>
      </c>
    </row>
    <row r="73" spans="1:23" ht="15.75" x14ac:dyDescent="0.25">
      <c r="B73" s="1" t="s">
        <v>7</v>
      </c>
      <c r="D73" s="24"/>
      <c r="F73" s="1" t="s">
        <v>7</v>
      </c>
      <c r="G73" s="15">
        <f>G72*G67</f>
        <v>1.6616666666666668E-3</v>
      </c>
      <c r="H73" s="4">
        <f t="shared" ref="H73:L73" si="12">H72*H67</f>
        <v>3.3233333333333335E-3</v>
      </c>
      <c r="I73" s="4">
        <f t="shared" si="12"/>
        <v>4.1541666666666671E-3</v>
      </c>
      <c r="J73" s="4">
        <f t="shared" si="12"/>
        <v>4.9849999999999998E-3</v>
      </c>
      <c r="K73" s="4">
        <f t="shared" si="12"/>
        <v>6.646666666666667E-3</v>
      </c>
      <c r="L73" s="16">
        <f t="shared" si="12"/>
        <v>8.3083333333333342E-3</v>
      </c>
      <c r="M73" s="24"/>
      <c r="Q73" s="8">
        <v>500</v>
      </c>
      <c r="R73">
        <v>8.3333333333333337E-6</v>
      </c>
      <c r="S73" s="4">
        <v>2.1933287712094893E-2</v>
      </c>
      <c r="T73" s="5">
        <v>331.73641962776554</v>
      </c>
      <c r="U73" s="4">
        <v>57984.553721630182</v>
      </c>
      <c r="V73" s="47"/>
      <c r="W73" s="5">
        <v>307.90750959352658</v>
      </c>
    </row>
    <row r="74" spans="1:23" ht="16.5" thickBot="1" x14ac:dyDescent="0.3">
      <c r="B74" s="1" t="s">
        <v>12</v>
      </c>
      <c r="D74" s="24" t="s">
        <v>13</v>
      </c>
      <c r="F74" s="1" t="s">
        <v>11</v>
      </c>
      <c r="G74" s="20">
        <f>(G66*G73)/(G70*G68)</f>
        <v>66.347283925553114</v>
      </c>
      <c r="H74" s="21">
        <f t="shared" ref="H74:L74" si="13">(H66*H73)/(H70*H68)</f>
        <v>132.69456785110623</v>
      </c>
      <c r="I74" s="21">
        <f t="shared" si="13"/>
        <v>165.86820981388277</v>
      </c>
      <c r="J74" s="21">
        <f t="shared" si="13"/>
        <v>199.04185177665931</v>
      </c>
      <c r="K74" s="21">
        <f t="shared" si="13"/>
        <v>265.38913570221246</v>
      </c>
      <c r="L74" s="22">
        <f t="shared" si="13"/>
        <v>331.73641962776554</v>
      </c>
      <c r="M74" s="24" t="s">
        <v>13</v>
      </c>
    </row>
    <row r="75" spans="1:23" ht="15.75" x14ac:dyDescent="0.25">
      <c r="A75" t="s">
        <v>29</v>
      </c>
      <c r="B75" s="1" t="s">
        <v>14</v>
      </c>
      <c r="C75" s="4">
        <v>7.5E-10</v>
      </c>
      <c r="D75" s="24" t="s">
        <v>35</v>
      </c>
      <c r="G75" s="4">
        <v>7.5E-10</v>
      </c>
      <c r="H75" s="4">
        <v>7.5E-10</v>
      </c>
      <c r="I75" s="4">
        <v>7.5E-10</v>
      </c>
      <c r="J75" s="4">
        <v>7.5E-10</v>
      </c>
      <c r="K75" s="4">
        <v>7.5E-10</v>
      </c>
      <c r="L75" s="4">
        <v>7.5E-10</v>
      </c>
      <c r="M75" s="24" t="s">
        <v>35</v>
      </c>
    </row>
    <row r="76" spans="1:23" ht="15.75" x14ac:dyDescent="0.25">
      <c r="B76" s="1" t="s">
        <v>18</v>
      </c>
      <c r="G76" s="5">
        <f>(G69*G66)/G75</f>
        <v>115969.10744326032</v>
      </c>
      <c r="H76" s="5">
        <f t="shared" ref="H76:L76" si="14">(H69*H66)/H75</f>
        <v>231938.21488652064</v>
      </c>
      <c r="I76" s="5">
        <f t="shared" si="14"/>
        <v>289922.76860815089</v>
      </c>
      <c r="J76" s="5">
        <f t="shared" si="14"/>
        <v>347907.32232978102</v>
      </c>
      <c r="K76" s="5">
        <f t="shared" si="14"/>
        <v>463876.42977304128</v>
      </c>
      <c r="L76" s="5">
        <f t="shared" si="14"/>
        <v>579845.53721630177</v>
      </c>
    </row>
    <row r="77" spans="1:23" x14ac:dyDescent="0.25">
      <c r="B77" t="s">
        <v>15</v>
      </c>
      <c r="C77" s="9">
        <f>(G70)/(C75*G72)</f>
        <v>1747.9103978602475</v>
      </c>
      <c r="D77" s="9"/>
    </row>
    <row r="78" spans="1:23" ht="15.75" x14ac:dyDescent="0.25">
      <c r="B78" s="1" t="s">
        <v>19</v>
      </c>
      <c r="G78" s="9">
        <f>1.029*($C$32^0.33)*(G74^0.55)*((0.02/0.022)^-0.472)</f>
        <v>127.05354255201368</v>
      </c>
      <c r="H78" s="9">
        <f t="shared" ref="H78:L78" si="15">1.029*($C$32^0.33)*(H74^0.55)*((0.02/0.022)^-0.472)</f>
        <v>186.01727426962211</v>
      </c>
      <c r="I78" s="9">
        <f t="shared" si="15"/>
        <v>210.30702673087376</v>
      </c>
      <c r="J78" s="9">
        <f t="shared" si="15"/>
        <v>232.48956708726169</v>
      </c>
      <c r="K78" s="9">
        <f t="shared" si="15"/>
        <v>272.34523045694795</v>
      </c>
      <c r="L78" s="9">
        <f t="shared" si="15"/>
        <v>307.90750959352658</v>
      </c>
    </row>
    <row r="81" spans="6:12" x14ac:dyDescent="0.25">
      <c r="F81" t="s">
        <v>23</v>
      </c>
      <c r="G81" s="5">
        <v>11596.910744326033</v>
      </c>
      <c r="H81" s="5">
        <v>23193.821488652065</v>
      </c>
      <c r="I81" s="5">
        <v>28992.276860815091</v>
      </c>
      <c r="J81" s="5">
        <v>34790.732232978102</v>
      </c>
      <c r="K81" s="5">
        <v>46387.642977304131</v>
      </c>
      <c r="L81" s="5">
        <v>57984.553721630182</v>
      </c>
    </row>
    <row r="82" spans="6:12" x14ac:dyDescent="0.25">
      <c r="F82" t="s">
        <v>25</v>
      </c>
      <c r="G82" s="5">
        <v>127.05354255201368</v>
      </c>
      <c r="H82" s="5">
        <v>186.01727426962211</v>
      </c>
      <c r="I82" s="5">
        <v>210.30702673087376</v>
      </c>
      <c r="J82" s="5">
        <v>232.48956708726169</v>
      </c>
      <c r="K82" s="5">
        <v>272.34523045694795</v>
      </c>
      <c r="L82" s="5">
        <v>307.90750959352658</v>
      </c>
    </row>
  </sheetData>
  <mergeCells count="6">
    <mergeCell ref="T22:W22"/>
    <mergeCell ref="V23:V28"/>
    <mergeCell ref="T67:W67"/>
    <mergeCell ref="V68:V73"/>
    <mergeCell ref="G17:L17"/>
    <mergeCell ref="G63:L63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A4A4B7FAD4AE41BD906FB15FCBB896" ma:contentTypeVersion="8" ma:contentTypeDescription="Create a new document." ma:contentTypeScope="" ma:versionID="94a1c4b7a51866e9f3fac1950465affa">
  <xsd:schema xmlns:xsd="http://www.w3.org/2001/XMLSchema" xmlns:xs="http://www.w3.org/2001/XMLSchema" xmlns:p="http://schemas.microsoft.com/office/2006/metadata/properties" xmlns:ns3="7ed2f0d2-541f-46e9-a66b-45165c1f1026" xmlns:ns4="d87bae4e-f3a0-4e51-82db-f647c3095509" targetNamespace="http://schemas.microsoft.com/office/2006/metadata/properties" ma:root="true" ma:fieldsID="e7cec34c3ba3d3f2bd35aec495ad67fc" ns3:_="" ns4:_="">
    <xsd:import namespace="7ed2f0d2-541f-46e9-a66b-45165c1f1026"/>
    <xsd:import namespace="d87bae4e-f3a0-4e51-82db-f647c30955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d2f0d2-541f-46e9-a66b-45165c1f10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bae4e-f3a0-4e51-82db-f647c30955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15A70C-1827-4A10-9F5D-2B09617A88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41610D-CB48-4E47-AA03-257CCC681F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d2f0d2-541f-46e9-a66b-45165c1f1026"/>
    <ds:schemaRef ds:uri="d87bae4e-f3a0-4e51-82db-f647c30955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5F59E2-7218-4A68-AFF1-929CED21085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7ed2f0d2-541f-46e9-a66b-45165c1f1026"/>
    <ds:schemaRef ds:uri="d87bae4e-f3a0-4e51-82db-f647c3095509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New Reynold Calc</vt:lpstr>
      <vt:lpstr>Reynolds table</vt:lpstr>
      <vt:lpstr>Old Reynolds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2021-02-23T09:32:55Z</dcterms:created>
  <dcterms:modified xsi:type="dcterms:W3CDTF">2022-03-16T17:21:20Z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0x01010033A4A4B7FAD4AE41BD906FB15FCBB896</vt:lpwstr>
  </property>
</Properties>
</file>